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40" yWindow="0" windowWidth="28800" windowHeight="15600" tabRatio="775"/>
  </bookViews>
  <sheets>
    <sheet name="TS expenditure" sheetId="2" r:id="rId1"/>
  </sheets>
  <externalReferences>
    <externalReference r:id="rId2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1" i="2" l="1"/>
  <c r="J71" i="2"/>
  <c r="G71" i="2"/>
  <c r="E71" i="2"/>
  <c r="F71" i="2" s="1"/>
  <c r="J67" i="2"/>
  <c r="E67" i="2"/>
  <c r="G67" i="2" s="1"/>
  <c r="J63" i="2"/>
  <c r="E63" i="2"/>
  <c r="G63" i="2" s="1"/>
  <c r="E47" i="2"/>
  <c r="E45" i="2"/>
  <c r="E44" i="2"/>
  <c r="E42" i="2"/>
  <c r="E52" i="2"/>
  <c r="G52" i="2" s="1"/>
  <c r="E50" i="2"/>
  <c r="J50" i="2"/>
  <c r="J47" i="2"/>
  <c r="E33" i="2"/>
  <c r="G33" i="2" s="1"/>
  <c r="J33" i="2"/>
  <c r="E29" i="2"/>
  <c r="F29" i="2" s="1"/>
  <c r="J29" i="2"/>
  <c r="D20" i="2"/>
  <c r="F67" i="2" l="1"/>
  <c r="F63" i="2"/>
  <c r="F52" i="2"/>
  <c r="J52" i="2"/>
  <c r="F33" i="2"/>
  <c r="G29" i="2"/>
  <c r="D94" i="2"/>
  <c r="J92" i="2"/>
  <c r="E92" i="2"/>
  <c r="F92" i="2" s="1"/>
  <c r="F91" i="2"/>
  <c r="E84" i="2"/>
  <c r="F84" i="2" s="1"/>
  <c r="E83" i="2"/>
  <c r="F83" i="2" s="1"/>
  <c r="I82" i="2"/>
  <c r="E82" i="2" s="1"/>
  <c r="E72" i="2"/>
  <c r="G72" i="2" s="1"/>
  <c r="E80" i="2"/>
  <c r="F80" i="2" s="1"/>
  <c r="E79" i="2"/>
  <c r="F79" i="2" s="1"/>
  <c r="P83" i="2"/>
  <c r="P78" i="2"/>
  <c r="P70" i="2"/>
  <c r="P65" i="2"/>
  <c r="P59" i="2"/>
  <c r="P57" i="2"/>
  <c r="P55" i="2"/>
  <c r="P51" i="2"/>
  <c r="P44" i="2"/>
  <c r="P35" i="2"/>
  <c r="P34" i="2"/>
  <c r="P32" i="2"/>
  <c r="P27" i="2"/>
  <c r="P24" i="2"/>
  <c r="P21" i="2"/>
  <c r="P20" i="2"/>
  <c r="P18" i="2"/>
  <c r="P11" i="2"/>
  <c r="P10" i="2"/>
  <c r="P4" i="2"/>
  <c r="P94" i="2"/>
  <c r="M84" i="2"/>
  <c r="M80" i="2"/>
  <c r="M79" i="2"/>
  <c r="M77" i="2"/>
  <c r="M74" i="2"/>
  <c r="M70" i="2"/>
  <c r="M69" i="2"/>
  <c r="M59" i="2"/>
  <c r="M58" i="2"/>
  <c r="M57" i="2"/>
  <c r="M56" i="2"/>
  <c r="M54" i="2"/>
  <c r="M53" i="2"/>
  <c r="M51" i="2"/>
  <c r="M49" i="2"/>
  <c r="M48" i="2"/>
  <c r="M45" i="2"/>
  <c r="M44" i="2"/>
  <c r="M43" i="2"/>
  <c r="M42" i="2"/>
  <c r="M41" i="2"/>
  <c r="M40" i="2"/>
  <c r="M39" i="2"/>
  <c r="M34" i="2"/>
  <c r="M31" i="2"/>
  <c r="M25" i="2"/>
  <c r="M23" i="2"/>
  <c r="M22" i="2"/>
  <c r="M21" i="2"/>
  <c r="M20" i="2"/>
  <c r="M19" i="2"/>
  <c r="M18" i="2"/>
  <c r="M14" i="2"/>
  <c r="M13" i="2"/>
  <c r="M11" i="2"/>
  <c r="M10" i="2"/>
  <c r="M5" i="2"/>
  <c r="M94" i="2"/>
  <c r="J72" i="2"/>
  <c r="J70" i="2"/>
  <c r="J68" i="2"/>
  <c r="J62" i="2"/>
  <c r="J60" i="2"/>
  <c r="J56" i="2"/>
  <c r="J44" i="2"/>
  <c r="J38" i="2"/>
  <c r="J37" i="2"/>
  <c r="J36" i="2"/>
  <c r="J31" i="2"/>
  <c r="J25" i="2"/>
  <c r="J20" i="2"/>
  <c r="J17" i="2"/>
  <c r="J12" i="2"/>
  <c r="J10" i="2"/>
  <c r="J9" i="2"/>
  <c r="J8" i="2"/>
  <c r="N87" i="2"/>
  <c r="L87" i="2"/>
  <c r="K87" i="2"/>
  <c r="H87" i="2"/>
  <c r="E78" i="2"/>
  <c r="F78" i="2" s="1"/>
  <c r="E62" i="2"/>
  <c r="G62" i="2" s="1"/>
  <c r="E55" i="2"/>
  <c r="F55" i="2" s="1"/>
  <c r="E54" i="2"/>
  <c r="F54" i="2" s="1"/>
  <c r="E23" i="2"/>
  <c r="F23" i="2" s="1"/>
  <c r="E74" i="2"/>
  <c r="F74" i="2" s="1"/>
  <c r="E70" i="2"/>
  <c r="F70" i="2" s="1"/>
  <c r="E69" i="2"/>
  <c r="F69" i="2" s="1"/>
  <c r="E68" i="2"/>
  <c r="F68" i="2" s="1"/>
  <c r="I66" i="2"/>
  <c r="E66" i="2" s="1"/>
  <c r="E65" i="2"/>
  <c r="F65" i="2" s="1"/>
  <c r="E60" i="2"/>
  <c r="G60" i="2" s="1"/>
  <c r="E58" i="2"/>
  <c r="F58" i="2" s="1"/>
  <c r="E56" i="2"/>
  <c r="G56" i="2" s="1"/>
  <c r="F45" i="2"/>
  <c r="G44" i="2"/>
  <c r="G42" i="2"/>
  <c r="E41" i="2"/>
  <c r="G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G35" i="2" s="1"/>
  <c r="E5" i="2"/>
  <c r="F5" i="2" s="1"/>
  <c r="E77" i="2"/>
  <c r="F77" i="2" s="1"/>
  <c r="E34" i="2"/>
  <c r="F34" i="2" s="1"/>
  <c r="E32" i="2"/>
  <c r="F32" i="2" s="1"/>
  <c r="E31" i="2"/>
  <c r="G31" i="2" s="1"/>
  <c r="E27" i="2"/>
  <c r="F27" i="2" s="1"/>
  <c r="E25" i="2"/>
  <c r="G25" i="2" s="1"/>
  <c r="E20" i="2"/>
  <c r="F20" i="2" s="1"/>
  <c r="E19" i="2"/>
  <c r="G19" i="2" s="1"/>
  <c r="E18" i="2"/>
  <c r="G18" i="2" s="1"/>
  <c r="E17" i="2"/>
  <c r="F17" i="2" s="1"/>
  <c r="E14" i="2"/>
  <c r="G14" i="2" s="1"/>
  <c r="E13" i="2"/>
  <c r="F13" i="2" s="1"/>
  <c r="E12" i="2"/>
  <c r="F12" i="2" s="1"/>
  <c r="E10" i="2"/>
  <c r="G10" i="2" s="1"/>
  <c r="E9" i="2"/>
  <c r="F9" i="2" s="1"/>
  <c r="E8" i="2"/>
  <c r="F8" i="2" s="1"/>
  <c r="O94" i="2"/>
  <c r="N94" i="2"/>
  <c r="L94" i="2"/>
  <c r="K94" i="2"/>
  <c r="H94" i="2"/>
  <c r="D87" i="2"/>
  <c r="I93" i="2"/>
  <c r="E93" i="2" s="1"/>
  <c r="I91" i="2"/>
  <c r="J91" i="2" s="1"/>
  <c r="I85" i="2"/>
  <c r="J85" i="2" s="1"/>
  <c r="I75" i="2"/>
  <c r="J75" i="2" s="1"/>
  <c r="I73" i="2"/>
  <c r="J73" i="2" s="1"/>
  <c r="I64" i="2"/>
  <c r="E64" i="2" s="1"/>
  <c r="G64" i="2" s="1"/>
  <c r="I61" i="2"/>
  <c r="J61" i="2" s="1"/>
  <c r="I59" i="2"/>
  <c r="E59" i="2" s="1"/>
  <c r="I57" i="2"/>
  <c r="E57" i="2" s="1"/>
  <c r="F57" i="2" s="1"/>
  <c r="I53" i="2"/>
  <c r="E53" i="2" s="1"/>
  <c r="G53" i="2" s="1"/>
  <c r="I51" i="2"/>
  <c r="I49" i="2"/>
  <c r="J49" i="2" s="1"/>
  <c r="I48" i="2"/>
  <c r="E48" i="2" s="1"/>
  <c r="I46" i="2"/>
  <c r="I43" i="2"/>
  <c r="E43" i="2" s="1"/>
  <c r="I30" i="2"/>
  <c r="E30" i="2" s="1"/>
  <c r="I28" i="2"/>
  <c r="E28" i="2" s="1"/>
  <c r="F28" i="2" s="1"/>
  <c r="J26" i="2"/>
  <c r="I24" i="2"/>
  <c r="J24" i="2" s="1"/>
  <c r="I22" i="2"/>
  <c r="J22" i="2" s="1"/>
  <c r="I21" i="2"/>
  <c r="E21" i="2" s="1"/>
  <c r="I16" i="2"/>
  <c r="J16" i="2" s="1"/>
  <c r="I15" i="2"/>
  <c r="J15" i="2" s="1"/>
  <c r="I11" i="2"/>
  <c r="E11" i="2" s="1"/>
  <c r="I6" i="2"/>
  <c r="J6" i="2" s="1"/>
  <c r="I4" i="2"/>
  <c r="E4" i="2" s="1"/>
  <c r="E85" i="2"/>
  <c r="F85" i="2" s="1"/>
  <c r="O46" i="2"/>
  <c r="O87" i="2" s="1"/>
  <c r="G91" i="2"/>
  <c r="G5" i="2"/>
  <c r="F72" i="2"/>
  <c r="G86" i="2" l="1"/>
  <c r="G84" i="2"/>
  <c r="E51" i="2"/>
  <c r="F51" i="2" s="1"/>
  <c r="J46" i="2"/>
  <c r="E46" i="2"/>
  <c r="G46" i="2" s="1"/>
  <c r="G50" i="2"/>
  <c r="F50" i="2"/>
  <c r="G47" i="2"/>
  <c r="F47" i="2"/>
  <c r="F62" i="2"/>
  <c r="G80" i="2"/>
  <c r="G69" i="2"/>
  <c r="G54" i="2"/>
  <c r="G77" i="2"/>
  <c r="J48" i="2"/>
  <c r="F41" i="2"/>
  <c r="F42" i="2"/>
  <c r="P87" i="2"/>
  <c r="M87" i="2"/>
  <c r="G8" i="2"/>
  <c r="J57" i="2"/>
  <c r="G32" i="2"/>
  <c r="G17" i="2"/>
  <c r="G37" i="2"/>
  <c r="F19" i="2"/>
  <c r="F44" i="2"/>
  <c r="G58" i="2"/>
  <c r="G45" i="2"/>
  <c r="J93" i="2"/>
  <c r="F56" i="2"/>
  <c r="G66" i="2"/>
  <c r="F66" i="2"/>
  <c r="G92" i="2"/>
  <c r="G83" i="2"/>
  <c r="G39" i="2"/>
  <c r="G36" i="2"/>
  <c r="P46" i="2"/>
  <c r="J53" i="2"/>
  <c r="J66" i="2"/>
  <c r="F10" i="2"/>
  <c r="F35" i="2"/>
  <c r="F60" i="2"/>
  <c r="G65" i="2"/>
  <c r="J51" i="2"/>
  <c r="E49" i="2"/>
  <c r="F49" i="2" s="1"/>
  <c r="F11" i="2"/>
  <c r="G11" i="2"/>
  <c r="J11" i="2"/>
  <c r="J43" i="2"/>
  <c r="F53" i="2"/>
  <c r="E73" i="2"/>
  <c r="F73" i="2" s="1"/>
  <c r="J4" i="2"/>
  <c r="G48" i="2"/>
  <c r="F48" i="2"/>
  <c r="G82" i="2"/>
  <c r="F82" i="2"/>
  <c r="F43" i="2"/>
  <c r="G43" i="2"/>
  <c r="G27" i="2"/>
  <c r="E26" i="2"/>
  <c r="J64" i="2"/>
  <c r="G13" i="2"/>
  <c r="G74" i="2"/>
  <c r="E22" i="2"/>
  <c r="J82" i="2"/>
  <c r="G40" i="2"/>
  <c r="E75" i="2"/>
  <c r="F75" i="2" s="1"/>
  <c r="E15" i="2"/>
  <c r="I87" i="2"/>
  <c r="J87" i="2" s="1"/>
  <c r="E6" i="2"/>
  <c r="F6" i="2" s="1"/>
  <c r="J28" i="2"/>
  <c r="J21" i="2"/>
  <c r="E16" i="2"/>
  <c r="G16" i="2" s="1"/>
  <c r="E61" i="2"/>
  <c r="I94" i="2"/>
  <c r="J94" i="2" s="1"/>
  <c r="F4" i="2"/>
  <c r="G4" i="2"/>
  <c r="F21" i="2"/>
  <c r="G21" i="2"/>
  <c r="F30" i="2"/>
  <c r="G30" i="2"/>
  <c r="F59" i="2"/>
  <c r="G59" i="2"/>
  <c r="G93" i="2"/>
  <c r="E94" i="2"/>
  <c r="G94" i="2" s="1"/>
  <c r="F93" i="2"/>
  <c r="F94" i="2" s="1"/>
  <c r="G20" i="2"/>
  <c r="G55" i="2"/>
  <c r="G28" i="2"/>
  <c r="G38" i="2"/>
  <c r="G85" i="2"/>
  <c r="G23" i="2"/>
  <c r="G12" i="2"/>
  <c r="G70" i="2"/>
  <c r="G78" i="2"/>
  <c r="G68" i="2"/>
  <c r="G57" i="2"/>
  <c r="G79" i="2"/>
  <c r="G9" i="2"/>
  <c r="G34" i="2"/>
  <c r="J30" i="2"/>
  <c r="E24" i="2"/>
  <c r="J59" i="2"/>
  <c r="F14" i="2"/>
  <c r="F18" i="2"/>
  <c r="F25" i="2"/>
  <c r="F31" i="2"/>
  <c r="G51" i="2" l="1"/>
  <c r="F46" i="2"/>
  <c r="G49" i="2"/>
  <c r="E87" i="2"/>
  <c r="G87" i="2" s="1"/>
  <c r="G73" i="2"/>
  <c r="G6" i="2"/>
  <c r="G75" i="2"/>
  <c r="F15" i="2"/>
  <c r="G15" i="2"/>
  <c r="G22" i="2"/>
  <c r="F22" i="2"/>
  <c r="G26" i="2"/>
  <c r="F26" i="2"/>
  <c r="F16" i="2"/>
  <c r="F61" i="2"/>
  <c r="G61" i="2"/>
  <c r="F24" i="2"/>
  <c r="G24" i="2"/>
  <c r="F87" i="2" l="1"/>
</calcChain>
</file>

<file path=xl/comments1.xml><?xml version="1.0" encoding="utf-8"?>
<comments xmlns="http://schemas.openxmlformats.org/spreadsheetml/2006/main">
  <authors>
    <author>Elspeth Halverson</author>
    <author>Helena ERIKSSON</author>
  </authors>
  <commentList>
    <comment ref="L13" authorId="0">
      <text>
        <r>
          <rPr>
            <b/>
            <sz val="9"/>
            <color indexed="81"/>
            <rFont val="Calibri"/>
            <family val="2"/>
          </rPr>
          <t>Elspeth Halverson:</t>
        </r>
        <r>
          <rPr>
            <sz val="9"/>
            <color indexed="81"/>
            <rFont val="Calibri"/>
            <family val="2"/>
          </rPr>
          <t xml:space="preserve">
As per email exchanges, implementation was delayed due to confusion over implementation arrangements. This has been sorted out and I have been assured that activities are underway and will be complete by the end of 2015 (or earlier!)</t>
        </r>
      </text>
    </comment>
    <comment ref="D86" authorId="1">
      <text>
        <r>
          <rPr>
            <b/>
            <sz val="9"/>
            <color indexed="81"/>
            <rFont val="Tahoma"/>
            <family val="2"/>
          </rPr>
          <t>Helena ERIKSSON:</t>
        </r>
        <r>
          <rPr>
            <sz val="9"/>
            <color indexed="81"/>
            <rFont val="Tahoma"/>
            <family val="2"/>
          </rPr>
          <t xml:space="preserve">
Split still TBD
</t>
        </r>
      </text>
    </comment>
  </commentList>
</comments>
</file>

<file path=xl/sharedStrings.xml><?xml version="1.0" encoding="utf-8"?>
<sst xmlns="http://schemas.openxmlformats.org/spreadsheetml/2006/main" count="212" uniqueCount="86">
  <si>
    <t>TS sequence #</t>
  </si>
  <si>
    <t>Amount approved</t>
  </si>
  <si>
    <t>Expenditure</t>
  </si>
  <si>
    <t>Balance</t>
  </si>
  <si>
    <t>Delivery (%)</t>
  </si>
  <si>
    <t>Approved</t>
  </si>
  <si>
    <t>Argentina</t>
  </si>
  <si>
    <t>Bangladesh, 1st</t>
  </si>
  <si>
    <t>Bangladesh, 2nd</t>
  </si>
  <si>
    <t xml:space="preserve">Bangladesh, 3rd </t>
  </si>
  <si>
    <t>Bangladesh, 4th</t>
  </si>
  <si>
    <t>Benin</t>
  </si>
  <si>
    <t>Bhutan</t>
  </si>
  <si>
    <t>Cambodia</t>
  </si>
  <si>
    <t>Chile</t>
  </si>
  <si>
    <t>Costa Rica</t>
  </si>
  <si>
    <t>CoteIvoire</t>
  </si>
  <si>
    <t>DRC</t>
  </si>
  <si>
    <t>Ecuador</t>
  </si>
  <si>
    <t>Honduras</t>
  </si>
  <si>
    <t>Indonesia</t>
  </si>
  <si>
    <t>Kenya</t>
  </si>
  <si>
    <t>Madagascar</t>
  </si>
  <si>
    <t>Malawi</t>
  </si>
  <si>
    <t>Mexico</t>
  </si>
  <si>
    <t>Mongolia</t>
  </si>
  <si>
    <t>Myanmar</t>
  </si>
  <si>
    <t>Nepal</t>
  </si>
  <si>
    <t>Pakistan</t>
  </si>
  <si>
    <t>Panama</t>
  </si>
  <si>
    <t>Peru</t>
  </si>
  <si>
    <t>Sri Lanka</t>
  </si>
  <si>
    <t>Uganda</t>
  </si>
  <si>
    <t>Zambia</t>
  </si>
  <si>
    <t>Cameroon</t>
  </si>
  <si>
    <t>Colombia</t>
  </si>
  <si>
    <t>Ghana</t>
  </si>
  <si>
    <t>Guatemala</t>
  </si>
  <si>
    <t xml:space="preserve">Paraguay </t>
  </si>
  <si>
    <t xml:space="preserve">The Phillippines </t>
  </si>
  <si>
    <t>PNG &amp; Solomon Islands*</t>
  </si>
  <si>
    <t>South Sudan</t>
  </si>
  <si>
    <t>Suriname</t>
  </si>
  <si>
    <t xml:space="preserve">Viet Nam </t>
  </si>
  <si>
    <t>Regional support</t>
  </si>
  <si>
    <t xml:space="preserve">Ethiopia </t>
  </si>
  <si>
    <t>Sudan</t>
  </si>
  <si>
    <t>WEST AFRICA  (regional support assisting Bénin, Burkina Faso, Côte d'Ivoire, Gambia, Ghana, Guinea-Bissau, Guinea-Conakry, Liberia, Mali, Niger, Nigeria, Senegal, Sierra Leone and Togo), approved in 2015</t>
  </si>
  <si>
    <t>Country</t>
  </si>
  <si>
    <t>Region</t>
  </si>
  <si>
    <t>TOTAL</t>
  </si>
  <si>
    <t>FAO</t>
  </si>
  <si>
    <t>UNEP</t>
  </si>
  <si>
    <t xml:space="preserve">UNDP </t>
  </si>
  <si>
    <t>TOTAL, country</t>
  </si>
  <si>
    <t>TOTAL, region</t>
  </si>
  <si>
    <t>Delivery</t>
  </si>
  <si>
    <t xml:space="preserve">Delivery </t>
  </si>
  <si>
    <t>1=ongoing, 0= completed (by 30 June 2015)</t>
  </si>
  <si>
    <t>Pacific Islands (regional)</t>
  </si>
  <si>
    <t>Ongoing</t>
  </si>
  <si>
    <t>Completed</t>
  </si>
  <si>
    <t xml:space="preserve">Expenditure </t>
  </si>
  <si>
    <t>Panama, approved in July - Dec 2015</t>
  </si>
  <si>
    <t>The Phillippines  (approved in July-Dec 2015)</t>
  </si>
  <si>
    <t>TBD</t>
  </si>
  <si>
    <t>Bhutan, approved in Jan-June 2015</t>
  </si>
  <si>
    <t>Cambodia, approved in Jan-June 2015</t>
  </si>
  <si>
    <t>Chad, approved in Jan-June 2015</t>
  </si>
  <si>
    <t>DRC, approved in July - Dec 2015</t>
  </si>
  <si>
    <t>Domincan Republic (approved in July-Dec 2015)</t>
  </si>
  <si>
    <t>Ecuador, approved in Jan-June 2015</t>
  </si>
  <si>
    <t>Ecuador, approved in July-Dec 2015</t>
  </si>
  <si>
    <t>Ethiopia, approved inJan-June 2015</t>
  </si>
  <si>
    <t>LAO PDR (approved in July- Dec 2015)</t>
  </si>
  <si>
    <t>Malaysia (approved in July- Dec 2015)</t>
  </si>
  <si>
    <t>Mexico (approved in July- Dec 2015)</t>
  </si>
  <si>
    <t>Nepal, approved in Jan-June 2015</t>
  </si>
  <si>
    <t>Pakistan (approved in July - Dec 2015)</t>
  </si>
  <si>
    <t>Panama, approved in Jan-June 2015</t>
  </si>
  <si>
    <t>Tunisia, approved in Jan-June 2015</t>
  </si>
  <si>
    <t>PACIFIC ISLANDS- Regional support to Fiji, Papua New Guinea, Solomon Islands and Vanuatu), Approved in Jan-June 2015</t>
  </si>
  <si>
    <r>
      <t>TS Implementation status</t>
    </r>
    <r>
      <rPr>
        <sz val="9"/>
        <color rgb="FFFF0000"/>
        <rFont val="Calibri"/>
        <family val="2"/>
        <scheme val="minor"/>
      </rPr>
      <t xml:space="preserve"> (please update)</t>
    </r>
  </si>
  <si>
    <r>
      <t xml:space="preserve">Expenditure </t>
    </r>
    <r>
      <rPr>
        <sz val="9"/>
        <color rgb="FFFF0000"/>
        <rFont val="Calibri"/>
        <family val="2"/>
        <scheme val="minor"/>
      </rPr>
      <t>(Please update to cover period until 31 Dec 2015)</t>
    </r>
  </si>
  <si>
    <r>
      <t xml:space="preserve">Expenditure </t>
    </r>
    <r>
      <rPr>
        <sz val="9"/>
        <color rgb="FFFF0000"/>
        <rFont val="Calibri"/>
        <family val="2"/>
        <scheme val="minor"/>
      </rPr>
      <t>(Please update to cpver period until 31 Dec 2015)</t>
    </r>
  </si>
  <si>
    <r>
      <rPr>
        <sz val="9"/>
        <color theme="1"/>
        <rFont val="Calibri"/>
        <family val="2"/>
        <scheme val="minor"/>
      </rPr>
      <t>Targeted support approved, 31 December 2015.</t>
    </r>
    <r>
      <rPr>
        <sz val="9"/>
        <color rgb="FFFF0000"/>
        <rFont val="Calibri"/>
        <family val="2"/>
        <scheme val="minor"/>
      </rPr>
      <t xml:space="preserve"> Please update the expenditure records, which are from 30 June 2015 (FAO: column I, UNDP: column L, UNEP: column O), as well as the status (column 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</si>
</sst>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FFD7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0" xfId="0" applyFont="1" applyFill="1"/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9" fontId="9" fillId="0" borderId="0" xfId="0" applyNumberFormat="1" applyFont="1"/>
    <xf numFmtId="0" fontId="9" fillId="0" borderId="9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164" fontId="9" fillId="0" borderId="0" xfId="0" applyNumberFormat="1" applyFont="1"/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4" fontId="10" fillId="0" borderId="0" xfId="0" applyNumberFormat="1" applyFont="1"/>
    <xf numFmtId="9" fontId="10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Protection="1"/>
    <xf numFmtId="9" fontId="9" fillId="0" borderId="0" xfId="0" applyNumberFormat="1" applyFont="1" applyProtection="1"/>
    <xf numFmtId="4" fontId="10" fillId="0" borderId="0" xfId="0" applyNumberFormat="1" applyFont="1" applyProtection="1"/>
    <xf numFmtId="9" fontId="10" fillId="0" borderId="0" xfId="0" applyNumberFormat="1" applyFont="1" applyProtection="1"/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9" fontId="9" fillId="8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9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9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9" fontId="9" fillId="3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 wrapText="1"/>
    </xf>
    <xf numFmtId="9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9" fontId="9" fillId="0" borderId="0" xfId="0" applyNumberFormat="1" applyFont="1" applyAlignment="1">
      <alignment wrapText="1"/>
    </xf>
    <xf numFmtId="0" fontId="9" fillId="0" borderId="4" xfId="0" applyFont="1" applyFill="1" applyBorder="1" applyAlignment="1">
      <alignment wrapText="1"/>
    </xf>
    <xf numFmtId="164" fontId="9" fillId="0" borderId="4" xfId="0" applyNumberFormat="1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9" fontId="9" fillId="0" borderId="4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9" fontId="9" fillId="0" borderId="4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9" fontId="9" fillId="2" borderId="4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/>
    </xf>
    <xf numFmtId="164" fontId="9" fillId="7" borderId="1" xfId="0" applyNumberFormat="1" applyFont="1" applyFill="1" applyBorder="1" applyAlignment="1">
      <alignment horizontal="right" vertical="center" wrapText="1"/>
    </xf>
    <xf numFmtId="9" fontId="9" fillId="7" borderId="1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9" fontId="9" fillId="4" borderId="1" xfId="0" applyNumberFormat="1" applyFont="1" applyFill="1" applyBorder="1" applyAlignment="1">
      <alignment horizontal="right" vertical="center" wrapText="1"/>
    </xf>
    <xf numFmtId="164" fontId="9" fillId="8" borderId="1" xfId="0" applyNumberFormat="1" applyFont="1" applyFill="1" applyBorder="1" applyAlignment="1">
      <alignment horizontal="right" vertical="center" wrapText="1"/>
    </xf>
    <xf numFmtId="164" fontId="8" fillId="8" borderId="1" xfId="0" applyNumberFormat="1" applyFont="1" applyFill="1" applyBorder="1" applyAlignment="1">
      <alignment horizontal="right" vertical="center" wrapText="1"/>
    </xf>
    <xf numFmtId="9" fontId="9" fillId="8" borderId="1" xfId="0" applyNumberFormat="1" applyFont="1" applyFill="1" applyBorder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164" fontId="8" fillId="9" borderId="1" xfId="0" applyNumberFormat="1" applyFont="1" applyFill="1" applyBorder="1" applyAlignment="1">
      <alignment horizontal="right" vertical="center" wrapText="1"/>
    </xf>
    <xf numFmtId="9" fontId="9" fillId="9" borderId="1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9" fontId="9" fillId="0" borderId="0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wrapText="1"/>
    </xf>
    <xf numFmtId="9" fontId="9" fillId="5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9" fillId="5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right" vertical="center" wrapText="1"/>
    </xf>
    <xf numFmtId="9" fontId="3" fillId="2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9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9" fontId="9" fillId="0" borderId="4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sson\AppData\Local\Microsoft\Windows\Temporary%20Internet%20Files\Content.Outlook\I2RFH17G\SUMMARY%20REPORT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TS"/>
      <sheetName val="CS"/>
      <sheetName val="CNA"/>
    </sheetNames>
    <sheetDataSet>
      <sheetData sheetId="0" refreshError="1"/>
      <sheetData sheetId="1" refreshError="1">
        <row r="23">
          <cell r="J23">
            <v>45817.21624999999</v>
          </cell>
        </row>
        <row r="24">
          <cell r="J24">
            <v>30438.866249999999</v>
          </cell>
        </row>
        <row r="25">
          <cell r="J25">
            <v>49182.956250000003</v>
          </cell>
        </row>
        <row r="26">
          <cell r="J26">
            <v>27274.016250000001</v>
          </cell>
        </row>
        <row r="27">
          <cell r="J27">
            <v>-12228.673749999998</v>
          </cell>
        </row>
        <row r="28">
          <cell r="J28">
            <v>4421.0162500000006</v>
          </cell>
        </row>
        <row r="31">
          <cell r="J31">
            <v>145356.20624999999</v>
          </cell>
        </row>
        <row r="32">
          <cell r="J32">
            <v>24384.276250000003</v>
          </cell>
        </row>
        <row r="35">
          <cell r="J35">
            <v>-4.67</v>
          </cell>
        </row>
        <row r="36">
          <cell r="F36">
            <v>27068.38</v>
          </cell>
          <cell r="J36">
            <v>174148.34624999997</v>
          </cell>
        </row>
        <row r="37">
          <cell r="J37">
            <v>40661.876249999994</v>
          </cell>
        </row>
        <row r="38">
          <cell r="J38">
            <v>122537.14625000001</v>
          </cell>
        </row>
        <row r="39">
          <cell r="J39">
            <v>29515.126250000001</v>
          </cell>
        </row>
        <row r="40">
          <cell r="J40">
            <v>51970.121249999989</v>
          </cell>
        </row>
        <row r="41">
          <cell r="J41">
            <v>169608.99624999997</v>
          </cell>
        </row>
        <row r="42">
          <cell r="J42">
            <v>35664.296249999999</v>
          </cell>
        </row>
        <row r="43">
          <cell r="J43">
            <v>242463.76625000004</v>
          </cell>
        </row>
        <row r="44">
          <cell r="J44">
            <v>15596.616249999999</v>
          </cell>
        </row>
        <row r="45">
          <cell r="J45">
            <v>-3361.6574999999993</v>
          </cell>
        </row>
        <row r="46">
          <cell r="J46">
            <v>72194.086249999993</v>
          </cell>
        </row>
        <row r="47">
          <cell r="J47">
            <v>12194.47625</v>
          </cell>
        </row>
        <row r="48">
          <cell r="J48">
            <v>4769.9362500000007</v>
          </cell>
        </row>
        <row r="49">
          <cell r="J49">
            <v>-942</v>
          </cell>
        </row>
        <row r="50">
          <cell r="J50">
            <v>21651.296249999999</v>
          </cell>
        </row>
        <row r="51">
          <cell r="F51">
            <v>-7582.179999999993</v>
          </cell>
          <cell r="J51">
            <v>26248.946249999997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115"/>
  <sheetViews>
    <sheetView tabSelected="1" view="pageBreakPreview" zoomScaleNormal="100" zoomScaleSheetLayoutView="100" workbookViewId="0">
      <pane ySplit="1" topLeftCell="A2" activePane="bottomLeft" state="frozen"/>
      <selection pane="bottomLeft" activeCell="B3" sqref="B3"/>
    </sheetView>
  </sheetViews>
  <sheetFormatPr defaultColWidth="8.85546875" defaultRowHeight="12" x14ac:dyDescent="0.2"/>
  <cols>
    <col min="1" max="1" width="14" style="6" customWidth="1"/>
    <col min="2" max="2" width="13.140625" style="6" customWidth="1"/>
    <col min="3" max="3" width="14.28515625" style="6" customWidth="1"/>
    <col min="4" max="4" width="11.7109375" style="6" customWidth="1"/>
    <col min="5" max="5" width="10.28515625" style="6" customWidth="1"/>
    <col min="6" max="6" width="9.42578125" style="6" customWidth="1"/>
    <col min="7" max="7" width="9" style="6" customWidth="1"/>
    <col min="8" max="8" width="12.140625" style="6" customWidth="1"/>
    <col min="9" max="10" width="14.7109375" style="6" customWidth="1"/>
    <col min="11" max="11" width="11.85546875" style="6" bestFit="1" customWidth="1"/>
    <col min="12" max="12" width="13.28515625" style="6" customWidth="1"/>
    <col min="13" max="13" width="11.85546875" style="13" bestFit="1" customWidth="1"/>
    <col min="14" max="14" width="10.28515625" style="6" customWidth="1"/>
    <col min="15" max="15" width="13.28515625" style="6" customWidth="1"/>
    <col min="16" max="16" width="11.42578125" style="6" customWidth="1"/>
    <col min="17" max="19" width="8.85546875" style="7"/>
    <col min="20" max="16384" width="8.85546875" style="6"/>
  </cols>
  <sheetData>
    <row r="1" spans="1:19" ht="21" customHeight="1" x14ac:dyDescent="0.2">
      <c r="A1" s="103" t="s">
        <v>85</v>
      </c>
      <c r="B1" s="103"/>
      <c r="C1" s="103"/>
      <c r="D1" s="103"/>
      <c r="E1" s="103"/>
      <c r="F1" s="103"/>
      <c r="G1" s="103"/>
      <c r="H1" s="103"/>
      <c r="I1" s="103"/>
      <c r="J1" s="104"/>
      <c r="K1" s="104"/>
      <c r="L1" s="104"/>
      <c r="M1" s="104"/>
    </row>
    <row r="2" spans="1:19" ht="36.75" customHeight="1" x14ac:dyDescent="0.2">
      <c r="A2" s="115"/>
      <c r="B2" s="115"/>
      <c r="C2" s="116"/>
      <c r="D2" s="114" t="s">
        <v>50</v>
      </c>
      <c r="E2" s="114"/>
      <c r="F2" s="114"/>
      <c r="G2" s="114"/>
      <c r="H2" s="102" t="s">
        <v>51</v>
      </c>
      <c r="I2" s="102"/>
      <c r="J2" s="102"/>
      <c r="K2" s="117" t="s">
        <v>53</v>
      </c>
      <c r="L2" s="117"/>
      <c r="M2" s="117"/>
      <c r="N2" s="105" t="s">
        <v>52</v>
      </c>
      <c r="O2" s="105"/>
      <c r="P2" s="105"/>
      <c r="Q2" s="6"/>
      <c r="R2" s="6"/>
      <c r="S2" s="6"/>
    </row>
    <row r="3" spans="1:19" s="32" customFormat="1" ht="65.25" customHeight="1" x14ac:dyDescent="0.2">
      <c r="A3" s="8" t="s">
        <v>82</v>
      </c>
      <c r="B3" s="29" t="s">
        <v>48</v>
      </c>
      <c r="C3" s="8" t="s">
        <v>0</v>
      </c>
      <c r="D3" s="8" t="s">
        <v>1</v>
      </c>
      <c r="E3" s="8" t="s">
        <v>62</v>
      </c>
      <c r="F3" s="8" t="s">
        <v>3</v>
      </c>
      <c r="G3" s="30" t="s">
        <v>4</v>
      </c>
      <c r="H3" s="9" t="s">
        <v>5</v>
      </c>
      <c r="I3" s="9" t="s">
        <v>83</v>
      </c>
      <c r="J3" s="9" t="s">
        <v>56</v>
      </c>
      <c r="K3" s="10" t="s">
        <v>5</v>
      </c>
      <c r="L3" s="10" t="s">
        <v>83</v>
      </c>
      <c r="M3" s="31" t="s">
        <v>56</v>
      </c>
      <c r="N3" s="11" t="s">
        <v>5</v>
      </c>
      <c r="O3" s="11" t="s">
        <v>83</v>
      </c>
      <c r="P3" s="11" t="s">
        <v>57</v>
      </c>
    </row>
    <row r="4" spans="1:19" s="32" customFormat="1" ht="36.75" customHeight="1" x14ac:dyDescent="0.2">
      <c r="A4" s="33" t="s">
        <v>60</v>
      </c>
      <c r="B4" s="12" t="s">
        <v>6</v>
      </c>
      <c r="C4" s="34">
        <v>1</v>
      </c>
      <c r="D4" s="35">
        <v>191512</v>
      </c>
      <c r="E4" s="35">
        <f>SUM(I4+L4+O4)</f>
        <v>153469.51624999999</v>
      </c>
      <c r="F4" s="35">
        <f>SUM(D4-E4)</f>
        <v>38042.483750000014</v>
      </c>
      <c r="G4" s="36">
        <f>SUM(E4/D4)</f>
        <v>0.80135717996783484</v>
      </c>
      <c r="H4" s="35">
        <v>100000</v>
      </c>
      <c r="I4" s="37">
        <f>40015+[1]TS!$J$23</f>
        <v>85832.216249999998</v>
      </c>
      <c r="J4" s="36">
        <f>SUM(I4/H4)</f>
        <v>0.85832216249999993</v>
      </c>
      <c r="K4" s="38"/>
      <c r="L4" s="38"/>
      <c r="M4" s="39"/>
      <c r="N4" s="40">
        <v>91512</v>
      </c>
      <c r="O4" s="41">
        <v>67637.3</v>
      </c>
      <c r="P4" s="42">
        <f>SUM(O4/N4)</f>
        <v>0.73910853221435446</v>
      </c>
    </row>
    <row r="5" spans="1:19" s="32" customFormat="1" ht="36.75" customHeight="1" x14ac:dyDescent="0.2">
      <c r="A5" s="33" t="s">
        <v>61</v>
      </c>
      <c r="B5" s="12" t="s">
        <v>7</v>
      </c>
      <c r="C5" s="43">
        <v>1</v>
      </c>
      <c r="D5" s="35">
        <v>110000</v>
      </c>
      <c r="E5" s="35">
        <f>SUM(I5+L5+O5)</f>
        <v>59160</v>
      </c>
      <c r="F5" s="35">
        <f>SUM(D5-E5)</f>
        <v>50840</v>
      </c>
      <c r="G5" s="36">
        <f>SUM(E5/D5)</f>
        <v>0.53781818181818186</v>
      </c>
      <c r="H5" s="44"/>
      <c r="I5" s="45"/>
      <c r="J5" s="46"/>
      <c r="K5" s="40">
        <v>110000</v>
      </c>
      <c r="L5" s="47">
        <v>59160</v>
      </c>
      <c r="M5" s="42">
        <f>SUM(L5/K5)</f>
        <v>0.53781818181818186</v>
      </c>
      <c r="N5" s="38"/>
      <c r="O5" s="48"/>
      <c r="P5" s="38"/>
    </row>
    <row r="6" spans="1:19" s="32" customFormat="1" ht="36.75" customHeight="1" x14ac:dyDescent="0.2">
      <c r="A6" s="33" t="s">
        <v>60</v>
      </c>
      <c r="B6" s="12" t="s">
        <v>8</v>
      </c>
      <c r="C6" s="43">
        <v>2</v>
      </c>
      <c r="D6" s="35">
        <v>37500</v>
      </c>
      <c r="E6" s="110">
        <f>SUM(I6)</f>
        <v>184265.86624999999</v>
      </c>
      <c r="F6" s="110">
        <f>SUM(D6+D7)-(E6)</f>
        <v>-31765.866249999992</v>
      </c>
      <c r="G6" s="108">
        <f>SUM(E6/(D6+D7))</f>
        <v>1.2083007622950819</v>
      </c>
      <c r="H6" s="35">
        <v>37500</v>
      </c>
      <c r="I6" s="111">
        <f>153827+[1]TS!$J$24</f>
        <v>184265.86624999999</v>
      </c>
      <c r="J6" s="108">
        <f>SUM(I6/(H6+H7))</f>
        <v>1.2083007622950819</v>
      </c>
      <c r="K6" s="38"/>
      <c r="L6" s="48"/>
      <c r="M6" s="39"/>
      <c r="N6" s="38"/>
      <c r="O6" s="48"/>
      <c r="P6" s="38"/>
    </row>
    <row r="7" spans="1:19" s="32" customFormat="1" ht="36.75" customHeight="1" x14ac:dyDescent="0.2">
      <c r="A7" s="33" t="s">
        <v>60</v>
      </c>
      <c r="B7" s="12" t="s">
        <v>9</v>
      </c>
      <c r="C7" s="43">
        <v>3</v>
      </c>
      <c r="D7" s="35">
        <v>115000</v>
      </c>
      <c r="E7" s="109"/>
      <c r="F7" s="109"/>
      <c r="G7" s="109"/>
      <c r="H7" s="35">
        <v>115000</v>
      </c>
      <c r="I7" s="112"/>
      <c r="J7" s="109"/>
      <c r="K7" s="38"/>
      <c r="L7" s="48"/>
      <c r="M7" s="39"/>
      <c r="N7" s="38"/>
      <c r="O7" s="48"/>
      <c r="P7" s="38"/>
    </row>
    <row r="8" spans="1:19" s="32" customFormat="1" ht="36.75" customHeight="1" x14ac:dyDescent="0.2">
      <c r="A8" s="33" t="s">
        <v>60</v>
      </c>
      <c r="B8" s="12" t="s">
        <v>10</v>
      </c>
      <c r="C8" s="43">
        <v>4</v>
      </c>
      <c r="D8" s="35">
        <v>95000</v>
      </c>
      <c r="E8" s="35">
        <f t="shared" ref="E8:E40" si="0">SUM(I8+L8+O8)</f>
        <v>9100</v>
      </c>
      <c r="F8" s="35">
        <f t="shared" ref="F8:F41" si="1">SUM(D8-E8)</f>
        <v>85900</v>
      </c>
      <c r="G8" s="36">
        <f t="shared" ref="G8:G16" si="2">SUM(E8/D8)</f>
        <v>9.5789473684210522E-2</v>
      </c>
      <c r="H8" s="35">
        <v>95000</v>
      </c>
      <c r="I8" s="37">
        <v>9100</v>
      </c>
      <c r="J8" s="36">
        <f>SUM(I8/H8)</f>
        <v>9.5789473684210522E-2</v>
      </c>
      <c r="K8" s="38"/>
      <c r="L8" s="48"/>
      <c r="M8" s="39"/>
      <c r="N8" s="38"/>
      <c r="O8" s="48"/>
      <c r="P8" s="38"/>
    </row>
    <row r="9" spans="1:19" s="32" customFormat="1" ht="36.75" customHeight="1" x14ac:dyDescent="0.2">
      <c r="A9" s="33" t="s">
        <v>60</v>
      </c>
      <c r="B9" s="12" t="s">
        <v>11</v>
      </c>
      <c r="C9" s="43">
        <v>1</v>
      </c>
      <c r="D9" s="35">
        <v>79500</v>
      </c>
      <c r="E9" s="35">
        <f t="shared" si="0"/>
        <v>0</v>
      </c>
      <c r="F9" s="35">
        <f t="shared" si="1"/>
        <v>79500</v>
      </c>
      <c r="G9" s="36">
        <f t="shared" si="2"/>
        <v>0</v>
      </c>
      <c r="H9" s="35">
        <v>79500</v>
      </c>
      <c r="I9" s="37">
        <v>0</v>
      </c>
      <c r="J9" s="36">
        <f>SUM(I9/H9)</f>
        <v>0</v>
      </c>
      <c r="K9" s="38"/>
      <c r="L9" s="48"/>
      <c r="M9" s="39"/>
      <c r="N9" s="38"/>
      <c r="O9" s="48"/>
      <c r="P9" s="38"/>
    </row>
    <row r="10" spans="1:19" s="32" customFormat="1" ht="36.75" customHeight="1" x14ac:dyDescent="0.2">
      <c r="A10" s="33" t="s">
        <v>61</v>
      </c>
      <c r="B10" s="12" t="s">
        <v>12</v>
      </c>
      <c r="C10" s="49">
        <v>1</v>
      </c>
      <c r="D10" s="50">
        <v>103250</v>
      </c>
      <c r="E10" s="35">
        <f t="shared" si="0"/>
        <v>102910.32</v>
      </c>
      <c r="F10" s="35">
        <f t="shared" si="1"/>
        <v>339.67999999999302</v>
      </c>
      <c r="G10" s="42">
        <f t="shared" si="2"/>
        <v>0.99671012106537538</v>
      </c>
      <c r="H10" s="35">
        <v>40000</v>
      </c>
      <c r="I10" s="37">
        <v>43556</v>
      </c>
      <c r="J10" s="36">
        <f>SUM(I10/H10)</f>
        <v>1.0889</v>
      </c>
      <c r="K10" s="40">
        <v>40000</v>
      </c>
      <c r="L10" s="41">
        <v>36619</v>
      </c>
      <c r="M10" s="42">
        <f>SUM(L10/K10)</f>
        <v>0.91547500000000004</v>
      </c>
      <c r="N10" s="40">
        <v>23250</v>
      </c>
      <c r="O10" s="41">
        <v>22735.32</v>
      </c>
      <c r="P10" s="42">
        <f>SUM(O10/N10)</f>
        <v>0.97786322580645157</v>
      </c>
    </row>
    <row r="11" spans="1:19" s="32" customFormat="1" ht="36.75" customHeight="1" x14ac:dyDescent="0.2">
      <c r="A11" s="33" t="s">
        <v>61</v>
      </c>
      <c r="B11" s="12" t="s">
        <v>12</v>
      </c>
      <c r="C11" s="49">
        <v>2</v>
      </c>
      <c r="D11" s="50">
        <v>245000</v>
      </c>
      <c r="E11" s="35">
        <f t="shared" si="0"/>
        <v>253688.95624999999</v>
      </c>
      <c r="F11" s="35">
        <f t="shared" si="1"/>
        <v>-8688.9562499999884</v>
      </c>
      <c r="G11" s="42">
        <f t="shared" si="2"/>
        <v>1.0354651275510203</v>
      </c>
      <c r="H11" s="35">
        <v>100000</v>
      </c>
      <c r="I11" s="37">
        <f>73506+[1]TS!$J$25</f>
        <v>122688.95625</v>
      </c>
      <c r="J11" s="36">
        <f>SUM(I11/H11)</f>
        <v>1.2268895625</v>
      </c>
      <c r="K11" s="40">
        <v>100000</v>
      </c>
      <c r="L11" s="41">
        <v>100000</v>
      </c>
      <c r="M11" s="42">
        <f>SUM(L11/K11)</f>
        <v>1</v>
      </c>
      <c r="N11" s="40">
        <v>45000</v>
      </c>
      <c r="O11" s="41">
        <v>31000</v>
      </c>
      <c r="P11" s="42">
        <f>SUM(O11/N11)</f>
        <v>0.68888888888888888</v>
      </c>
    </row>
    <row r="12" spans="1:19" s="32" customFormat="1" ht="36.75" customHeight="1" x14ac:dyDescent="0.2">
      <c r="A12" s="33" t="s">
        <v>60</v>
      </c>
      <c r="B12" s="12" t="s">
        <v>66</v>
      </c>
      <c r="C12" s="49">
        <v>3</v>
      </c>
      <c r="D12" s="50">
        <v>100000</v>
      </c>
      <c r="E12" s="35">
        <f t="shared" si="0"/>
        <v>0</v>
      </c>
      <c r="F12" s="35">
        <f t="shared" si="1"/>
        <v>100000</v>
      </c>
      <c r="G12" s="42">
        <f t="shared" ref="G12" si="3">SUM(E12/D12)</f>
        <v>0</v>
      </c>
      <c r="H12" s="35">
        <v>100000</v>
      </c>
      <c r="I12" s="37">
        <v>0</v>
      </c>
      <c r="J12" s="36">
        <f>SUM(I12/H12)</f>
        <v>0</v>
      </c>
      <c r="K12" s="38"/>
      <c r="L12" s="48"/>
      <c r="M12" s="39"/>
      <c r="N12" s="38"/>
      <c r="O12" s="48"/>
      <c r="P12" s="38"/>
    </row>
    <row r="13" spans="1:19" s="32" customFormat="1" ht="36.75" customHeight="1" x14ac:dyDescent="0.2">
      <c r="A13" s="33" t="s">
        <v>60</v>
      </c>
      <c r="B13" s="12" t="s">
        <v>13</v>
      </c>
      <c r="C13" s="43">
        <v>1</v>
      </c>
      <c r="D13" s="35">
        <v>10000</v>
      </c>
      <c r="E13" s="35">
        <f t="shared" si="0"/>
        <v>0</v>
      </c>
      <c r="F13" s="35">
        <f t="shared" si="1"/>
        <v>10000</v>
      </c>
      <c r="G13" s="36">
        <f t="shared" si="2"/>
        <v>0</v>
      </c>
      <c r="H13" s="51"/>
      <c r="I13" s="52"/>
      <c r="J13" s="39"/>
      <c r="K13" s="40">
        <v>10000</v>
      </c>
      <c r="L13" s="41">
        <v>0</v>
      </c>
      <c r="M13" s="42">
        <f>SUM(L13/K13)</f>
        <v>0</v>
      </c>
      <c r="N13" s="38"/>
      <c r="O13" s="48"/>
      <c r="P13" s="38"/>
    </row>
    <row r="14" spans="1:19" s="32" customFormat="1" ht="36.75" customHeight="1" x14ac:dyDescent="0.2">
      <c r="A14" s="33" t="s">
        <v>60</v>
      </c>
      <c r="B14" s="12" t="s">
        <v>13</v>
      </c>
      <c r="C14" s="43">
        <v>2</v>
      </c>
      <c r="D14" s="35">
        <v>65000</v>
      </c>
      <c r="E14" s="35">
        <f t="shared" si="0"/>
        <v>25643.86</v>
      </c>
      <c r="F14" s="35">
        <f t="shared" si="1"/>
        <v>39356.14</v>
      </c>
      <c r="G14" s="36">
        <f t="shared" si="2"/>
        <v>0.3945209230769231</v>
      </c>
      <c r="H14" s="51"/>
      <c r="I14" s="52"/>
      <c r="J14" s="39"/>
      <c r="K14" s="40">
        <v>65000</v>
      </c>
      <c r="L14" s="41">
        <v>25643.86</v>
      </c>
      <c r="M14" s="42">
        <f>SUM(L14/K14)</f>
        <v>0.3945209230769231</v>
      </c>
      <c r="N14" s="38"/>
      <c r="O14" s="48"/>
      <c r="P14" s="38"/>
    </row>
    <row r="15" spans="1:19" s="32" customFormat="1" ht="36.75" customHeight="1" x14ac:dyDescent="0.2">
      <c r="A15" s="33" t="s">
        <v>60</v>
      </c>
      <c r="B15" s="12" t="s">
        <v>67</v>
      </c>
      <c r="C15" s="43">
        <v>3</v>
      </c>
      <c r="D15" s="35">
        <v>125000</v>
      </c>
      <c r="E15" s="35">
        <f t="shared" si="0"/>
        <v>27274.016250000001</v>
      </c>
      <c r="F15" s="35">
        <f t="shared" si="1"/>
        <v>97725.983749999999</v>
      </c>
      <c r="G15" s="36">
        <f t="shared" ref="G15" si="4">SUM(E15/D15)</f>
        <v>0.21819213000000001</v>
      </c>
      <c r="H15" s="53">
        <v>125000</v>
      </c>
      <c r="I15" s="54">
        <f>[1]TS!$J$26</f>
        <v>27274.016250000001</v>
      </c>
      <c r="J15" s="36">
        <f>SUM(I15/H15)</f>
        <v>0.21819213000000001</v>
      </c>
      <c r="K15" s="38"/>
      <c r="L15" s="48"/>
      <c r="M15" s="39"/>
      <c r="N15" s="38"/>
      <c r="O15" s="48"/>
      <c r="P15" s="38"/>
    </row>
    <row r="16" spans="1:19" s="32" customFormat="1" ht="36.75" customHeight="1" x14ac:dyDescent="0.2">
      <c r="A16" s="33" t="s">
        <v>61</v>
      </c>
      <c r="B16" s="12" t="s">
        <v>34</v>
      </c>
      <c r="C16" s="43">
        <v>1</v>
      </c>
      <c r="D16" s="35">
        <v>35800</v>
      </c>
      <c r="E16" s="35">
        <f t="shared" si="0"/>
        <v>23571.326250000002</v>
      </c>
      <c r="F16" s="35">
        <f t="shared" si="1"/>
        <v>12228.673749999998</v>
      </c>
      <c r="G16" s="36">
        <f t="shared" si="2"/>
        <v>0.65841693435754201</v>
      </c>
      <c r="H16" s="35">
        <v>35800</v>
      </c>
      <c r="I16" s="37">
        <f>35800+[1]TS!$J$27</f>
        <v>23571.326250000002</v>
      </c>
      <c r="J16" s="36">
        <f>SUM(I16/H16)</f>
        <v>0.65841693435754201</v>
      </c>
      <c r="K16" s="38"/>
      <c r="L16" s="48"/>
      <c r="M16" s="39"/>
      <c r="N16" s="38"/>
      <c r="O16" s="48"/>
      <c r="P16" s="38"/>
    </row>
    <row r="17" spans="1:16" s="32" customFormat="1" ht="36.75" customHeight="1" x14ac:dyDescent="0.2">
      <c r="A17" s="33" t="s">
        <v>60</v>
      </c>
      <c r="B17" s="12" t="s">
        <v>68</v>
      </c>
      <c r="C17" s="43">
        <v>1</v>
      </c>
      <c r="D17" s="35">
        <v>60000</v>
      </c>
      <c r="E17" s="35">
        <f t="shared" si="0"/>
        <v>0</v>
      </c>
      <c r="F17" s="35">
        <f t="shared" si="1"/>
        <v>60000</v>
      </c>
      <c r="G17" s="36">
        <f t="shared" ref="G17" si="5">SUM(E17/D17)</f>
        <v>0</v>
      </c>
      <c r="H17" s="35">
        <v>60000</v>
      </c>
      <c r="I17" s="37">
        <v>0</v>
      </c>
      <c r="J17" s="36">
        <f>SUM(I17/H17)</f>
        <v>0</v>
      </c>
      <c r="K17" s="38"/>
      <c r="L17" s="48"/>
      <c r="M17" s="39"/>
      <c r="N17" s="38"/>
      <c r="O17" s="48"/>
      <c r="P17" s="38"/>
    </row>
    <row r="18" spans="1:16" s="32" customFormat="1" ht="36.75" customHeight="1" x14ac:dyDescent="0.2">
      <c r="A18" s="33" t="s">
        <v>60</v>
      </c>
      <c r="B18" s="12" t="s">
        <v>14</v>
      </c>
      <c r="C18" s="43">
        <v>1</v>
      </c>
      <c r="D18" s="35">
        <v>560000</v>
      </c>
      <c r="E18" s="35">
        <f t="shared" si="0"/>
        <v>1432.61</v>
      </c>
      <c r="F18" s="35">
        <f t="shared" si="1"/>
        <v>558567.39</v>
      </c>
      <c r="G18" s="36">
        <f t="shared" ref="G18:G19" si="6">SUM(E18/D18)</f>
        <v>2.5582321428571425E-3</v>
      </c>
      <c r="H18" s="51"/>
      <c r="I18" s="52"/>
      <c r="J18" s="39"/>
      <c r="K18" s="40">
        <v>517200</v>
      </c>
      <c r="L18" s="41">
        <v>1432.61</v>
      </c>
      <c r="M18" s="42">
        <f t="shared" ref="M18:M23" si="7">SUM(L18/K18)</f>
        <v>2.7699342614075791E-3</v>
      </c>
      <c r="N18" s="40">
        <v>42800</v>
      </c>
      <c r="O18" s="41">
        <v>0</v>
      </c>
      <c r="P18" s="42">
        <f>SUM(O18/N18)</f>
        <v>0</v>
      </c>
    </row>
    <row r="19" spans="1:16" s="32" customFormat="1" ht="36.75" customHeight="1" x14ac:dyDescent="0.2">
      <c r="A19" s="33" t="s">
        <v>61</v>
      </c>
      <c r="B19" s="12" t="s">
        <v>35</v>
      </c>
      <c r="C19" s="43">
        <v>1</v>
      </c>
      <c r="D19" s="35">
        <v>50000</v>
      </c>
      <c r="E19" s="35">
        <f t="shared" si="0"/>
        <v>49973.42</v>
      </c>
      <c r="F19" s="35">
        <f t="shared" si="1"/>
        <v>26.580000000001746</v>
      </c>
      <c r="G19" s="36">
        <f t="shared" si="6"/>
        <v>0.99946839999999992</v>
      </c>
      <c r="H19" s="51"/>
      <c r="I19" s="52"/>
      <c r="J19" s="39"/>
      <c r="K19" s="40">
        <v>50000</v>
      </c>
      <c r="L19" s="41">
        <v>49973.42</v>
      </c>
      <c r="M19" s="42">
        <f t="shared" si="7"/>
        <v>0.99946839999999992</v>
      </c>
      <c r="N19" s="38"/>
      <c r="O19" s="48"/>
      <c r="P19" s="38"/>
    </row>
    <row r="20" spans="1:16" s="32" customFormat="1" ht="36.75" customHeight="1" x14ac:dyDescent="0.2">
      <c r="A20" s="33" t="s">
        <v>61</v>
      </c>
      <c r="B20" s="12" t="s">
        <v>15</v>
      </c>
      <c r="C20" s="43">
        <v>1</v>
      </c>
      <c r="D20" s="35">
        <f>SUM(N20+K20+H20)</f>
        <v>242383</v>
      </c>
      <c r="E20" s="35">
        <f t="shared" si="0"/>
        <v>242264</v>
      </c>
      <c r="F20" s="35">
        <f t="shared" si="1"/>
        <v>119</v>
      </c>
      <c r="G20" s="36">
        <f t="shared" ref="G20:G74" si="8">SUM(E20/D20)</f>
        <v>0.99950904147568109</v>
      </c>
      <c r="H20" s="35">
        <v>20000</v>
      </c>
      <c r="I20" s="37">
        <v>20000</v>
      </c>
      <c r="J20" s="36">
        <f>SUM(I20/H20)</f>
        <v>1</v>
      </c>
      <c r="K20" s="40">
        <v>107383</v>
      </c>
      <c r="L20" s="41">
        <v>107264</v>
      </c>
      <c r="M20" s="42">
        <f t="shared" si="7"/>
        <v>0.99889181714051567</v>
      </c>
      <c r="N20" s="40">
        <v>115000</v>
      </c>
      <c r="O20" s="41">
        <v>115000</v>
      </c>
      <c r="P20" s="42">
        <f>SUM(O20/N20)</f>
        <v>1</v>
      </c>
    </row>
    <row r="21" spans="1:16" s="32" customFormat="1" ht="36.75" customHeight="1" x14ac:dyDescent="0.2">
      <c r="A21" s="33" t="s">
        <v>60</v>
      </c>
      <c r="B21" s="12" t="s">
        <v>15</v>
      </c>
      <c r="C21" s="43">
        <v>2</v>
      </c>
      <c r="D21" s="35">
        <v>760000</v>
      </c>
      <c r="E21" s="35">
        <f t="shared" si="0"/>
        <v>231136.01624999999</v>
      </c>
      <c r="F21" s="35">
        <f t="shared" si="1"/>
        <v>528863.98375000001</v>
      </c>
      <c r="G21" s="36">
        <f t="shared" si="8"/>
        <v>0.30412633717105264</v>
      </c>
      <c r="H21" s="35">
        <v>150000</v>
      </c>
      <c r="I21" s="37">
        <f>[1]TS!$J$28</f>
        <v>4421.0162500000006</v>
      </c>
      <c r="J21" s="36">
        <f>SUM(I21/H21)</f>
        <v>2.9473441666666669E-2</v>
      </c>
      <c r="K21" s="40">
        <v>210000</v>
      </c>
      <c r="L21" s="41">
        <v>53341</v>
      </c>
      <c r="M21" s="42">
        <f t="shared" si="7"/>
        <v>0.2540047619047619</v>
      </c>
      <c r="N21" s="40">
        <v>400000</v>
      </c>
      <c r="O21" s="41">
        <v>173374</v>
      </c>
      <c r="P21" s="42">
        <f>SUM(O21/N21)</f>
        <v>0.43343500000000001</v>
      </c>
    </row>
    <row r="22" spans="1:16" s="32" customFormat="1" ht="36.75" customHeight="1" x14ac:dyDescent="0.2">
      <c r="A22" s="33" t="s">
        <v>61</v>
      </c>
      <c r="B22" s="12" t="s">
        <v>16</v>
      </c>
      <c r="C22" s="43">
        <v>1</v>
      </c>
      <c r="D22" s="35">
        <v>235000</v>
      </c>
      <c r="E22" s="35">
        <f t="shared" si="0"/>
        <v>184760</v>
      </c>
      <c r="F22" s="35">
        <f t="shared" si="1"/>
        <v>50240</v>
      </c>
      <c r="G22" s="36">
        <f t="shared" si="8"/>
        <v>0.78621276595744682</v>
      </c>
      <c r="H22" s="35">
        <v>195000</v>
      </c>
      <c r="I22" s="37">
        <f>130819+13941</f>
        <v>144760</v>
      </c>
      <c r="J22" s="36">
        <f>SUM(I22/H22)</f>
        <v>0.74235897435897436</v>
      </c>
      <c r="K22" s="40">
        <v>40000</v>
      </c>
      <c r="L22" s="41">
        <v>40000</v>
      </c>
      <c r="M22" s="42">
        <f t="shared" si="7"/>
        <v>1</v>
      </c>
      <c r="N22" s="38"/>
      <c r="O22" s="48"/>
      <c r="P22" s="38"/>
    </row>
    <row r="23" spans="1:16" s="32" customFormat="1" ht="36.75" customHeight="1" x14ac:dyDescent="0.2">
      <c r="A23" s="33" t="s">
        <v>61</v>
      </c>
      <c r="B23" s="12" t="s">
        <v>16</v>
      </c>
      <c r="C23" s="43">
        <v>2</v>
      </c>
      <c r="D23" s="35">
        <v>60000</v>
      </c>
      <c r="E23" s="35">
        <f t="shared" si="0"/>
        <v>59215</v>
      </c>
      <c r="F23" s="35">
        <f t="shared" si="1"/>
        <v>785</v>
      </c>
      <c r="G23" s="36">
        <f t="shared" si="8"/>
        <v>0.98691666666666666</v>
      </c>
      <c r="H23" s="51"/>
      <c r="I23" s="52"/>
      <c r="J23" s="39"/>
      <c r="K23" s="40">
        <v>60000</v>
      </c>
      <c r="L23" s="41">
        <v>59215</v>
      </c>
      <c r="M23" s="42">
        <f t="shared" si="7"/>
        <v>0.98691666666666666</v>
      </c>
      <c r="N23" s="38"/>
      <c r="O23" s="48"/>
      <c r="P23" s="38"/>
    </row>
    <row r="24" spans="1:16" s="32" customFormat="1" ht="36.75" customHeight="1" x14ac:dyDescent="0.2">
      <c r="A24" s="33" t="s">
        <v>60</v>
      </c>
      <c r="B24" s="12" t="s">
        <v>16</v>
      </c>
      <c r="C24" s="49">
        <v>3</v>
      </c>
      <c r="D24" s="50">
        <v>230000</v>
      </c>
      <c r="E24" s="35">
        <f t="shared" si="0"/>
        <v>157995.38</v>
      </c>
      <c r="F24" s="35">
        <f t="shared" si="1"/>
        <v>72004.62</v>
      </c>
      <c r="G24" s="42">
        <f t="shared" si="8"/>
        <v>0.68693643478260868</v>
      </c>
      <c r="H24" s="35">
        <v>90000</v>
      </c>
      <c r="I24" s="37">
        <f>27249+[1]TS!$F$36</f>
        <v>54317.380000000005</v>
      </c>
      <c r="J24" s="36">
        <f>SUM(I24/H24)</f>
        <v>0.60352644444444448</v>
      </c>
      <c r="K24" s="38"/>
      <c r="L24" s="48"/>
      <c r="M24" s="39"/>
      <c r="N24" s="40">
        <v>140000</v>
      </c>
      <c r="O24" s="41">
        <v>103678</v>
      </c>
      <c r="P24" s="42">
        <f>SUM(O24/N24)</f>
        <v>0.7405571428571428</v>
      </c>
    </row>
    <row r="25" spans="1:16" s="32" customFormat="1" ht="36.75" customHeight="1" x14ac:dyDescent="0.2">
      <c r="A25" s="33" t="s">
        <v>61</v>
      </c>
      <c r="B25" s="12" t="s">
        <v>17</v>
      </c>
      <c r="C25" s="49">
        <v>1</v>
      </c>
      <c r="D25" s="50">
        <v>90000</v>
      </c>
      <c r="E25" s="35">
        <f t="shared" si="0"/>
        <v>55700</v>
      </c>
      <c r="F25" s="35">
        <f t="shared" si="1"/>
        <v>34300</v>
      </c>
      <c r="G25" s="42">
        <f t="shared" si="8"/>
        <v>0.61888888888888893</v>
      </c>
      <c r="H25" s="35">
        <v>10000</v>
      </c>
      <c r="I25" s="37">
        <v>11200</v>
      </c>
      <c r="J25" s="36">
        <f>SUM(I25/H25)</f>
        <v>1.1200000000000001</v>
      </c>
      <c r="K25" s="40">
        <v>80000</v>
      </c>
      <c r="L25" s="41">
        <v>44500</v>
      </c>
      <c r="M25" s="42">
        <f>SUM(L25/K25)</f>
        <v>0.55625000000000002</v>
      </c>
      <c r="N25" s="38"/>
      <c r="O25" s="48"/>
      <c r="P25" s="38"/>
    </row>
    <row r="26" spans="1:16" s="32" customFormat="1" ht="36.75" customHeight="1" x14ac:dyDescent="0.2">
      <c r="A26" s="33" t="s">
        <v>60</v>
      </c>
      <c r="B26" s="12" t="s">
        <v>17</v>
      </c>
      <c r="C26" s="49">
        <v>2</v>
      </c>
      <c r="D26" s="50">
        <v>512500</v>
      </c>
      <c r="E26" s="35">
        <f t="shared" si="0"/>
        <v>512500</v>
      </c>
      <c r="F26" s="35">
        <f t="shared" si="1"/>
        <v>0</v>
      </c>
      <c r="G26" s="42">
        <f t="shared" si="8"/>
        <v>1</v>
      </c>
      <c r="H26" s="35">
        <v>512500</v>
      </c>
      <c r="I26" s="37">
        <v>512500</v>
      </c>
      <c r="J26" s="36">
        <f>SUM(I26/H26)</f>
        <v>1</v>
      </c>
      <c r="K26" s="38"/>
      <c r="L26" s="48"/>
      <c r="M26" s="39"/>
      <c r="N26" s="38"/>
      <c r="O26" s="48"/>
      <c r="P26" s="38"/>
    </row>
    <row r="27" spans="1:16" s="32" customFormat="1" ht="36.75" customHeight="1" x14ac:dyDescent="0.2">
      <c r="A27" s="33" t="s">
        <v>60</v>
      </c>
      <c r="B27" s="12" t="s">
        <v>17</v>
      </c>
      <c r="C27" s="49">
        <v>3</v>
      </c>
      <c r="D27" s="50">
        <v>90000</v>
      </c>
      <c r="E27" s="35">
        <f t="shared" si="0"/>
        <v>90000</v>
      </c>
      <c r="F27" s="35">
        <f t="shared" si="1"/>
        <v>0</v>
      </c>
      <c r="G27" s="42">
        <f t="shared" si="8"/>
        <v>1</v>
      </c>
      <c r="H27" s="51"/>
      <c r="I27" s="52"/>
      <c r="J27" s="39"/>
      <c r="K27" s="38"/>
      <c r="L27" s="48"/>
      <c r="M27" s="39"/>
      <c r="N27" s="40">
        <v>90000</v>
      </c>
      <c r="O27" s="41">
        <v>90000</v>
      </c>
      <c r="P27" s="42">
        <f>SUM(O27/N27)</f>
        <v>1</v>
      </c>
    </row>
    <row r="28" spans="1:16" s="32" customFormat="1" ht="36.75" customHeight="1" x14ac:dyDescent="0.2">
      <c r="A28" s="33" t="s">
        <v>60</v>
      </c>
      <c r="B28" s="12" t="s">
        <v>69</v>
      </c>
      <c r="C28" s="49">
        <v>4</v>
      </c>
      <c r="D28" s="50">
        <v>335354</v>
      </c>
      <c r="E28" s="35">
        <f t="shared" si="0"/>
        <v>14903.820000000007</v>
      </c>
      <c r="F28" s="35">
        <f t="shared" si="1"/>
        <v>320450.18</v>
      </c>
      <c r="G28" s="42">
        <f t="shared" ref="G28" si="9">SUM(E28/D28)</f>
        <v>4.444205227908421E-2</v>
      </c>
      <c r="H28" s="53">
        <v>335354</v>
      </c>
      <c r="I28" s="54">
        <f>22486+[1]TS!$F$51</f>
        <v>14903.820000000007</v>
      </c>
      <c r="J28" s="36">
        <f>SUM(I28/H28)</f>
        <v>4.444205227908421E-2</v>
      </c>
      <c r="K28" s="38"/>
      <c r="L28" s="48"/>
      <c r="M28" s="39"/>
      <c r="N28" s="38"/>
      <c r="O28" s="48"/>
      <c r="P28" s="38"/>
    </row>
    <row r="29" spans="1:16" s="32" customFormat="1" ht="36.75" customHeight="1" x14ac:dyDescent="0.2">
      <c r="A29" s="33" t="s">
        <v>60</v>
      </c>
      <c r="B29" s="12" t="s">
        <v>70</v>
      </c>
      <c r="C29" s="49">
        <v>1</v>
      </c>
      <c r="D29" s="50">
        <v>50000</v>
      </c>
      <c r="E29" s="35">
        <f t="shared" ref="E29" si="10">SUM(I29+L29+O29)</f>
        <v>0</v>
      </c>
      <c r="F29" s="35">
        <f t="shared" ref="F29" si="11">SUM(D29-E29)</f>
        <v>50000</v>
      </c>
      <c r="G29" s="55">
        <f t="shared" ref="G29" si="12">SUM(E29/D29)</f>
        <v>0</v>
      </c>
      <c r="H29" s="35">
        <v>50000</v>
      </c>
      <c r="I29" s="37">
        <v>0</v>
      </c>
      <c r="J29" s="56">
        <f>SUM(I29/H29)</f>
        <v>0</v>
      </c>
      <c r="K29" s="38"/>
      <c r="L29" s="48"/>
      <c r="M29" s="39"/>
      <c r="N29" s="38"/>
      <c r="O29" s="48"/>
      <c r="P29" s="38"/>
    </row>
    <row r="30" spans="1:16" s="32" customFormat="1" ht="36.75" customHeight="1" x14ac:dyDescent="0.2">
      <c r="A30" s="33" t="s">
        <v>60</v>
      </c>
      <c r="B30" s="12" t="s">
        <v>18</v>
      </c>
      <c r="C30" s="49">
        <v>1</v>
      </c>
      <c r="D30" s="50">
        <v>225800</v>
      </c>
      <c r="E30" s="35">
        <f t="shared" si="0"/>
        <v>163591.20624999999</v>
      </c>
      <c r="F30" s="35">
        <f t="shared" si="1"/>
        <v>62208.793750000012</v>
      </c>
      <c r="G30" s="42">
        <f t="shared" si="8"/>
        <v>0.72449604185119565</v>
      </c>
      <c r="H30" s="35">
        <v>225800</v>
      </c>
      <c r="I30" s="37">
        <f>18235+[1]TS!$J$31</f>
        <v>163591.20624999999</v>
      </c>
      <c r="J30" s="36">
        <f>SUM(I30/H30)</f>
        <v>0.72449604185119565</v>
      </c>
      <c r="K30" s="38"/>
      <c r="L30" s="48"/>
      <c r="M30" s="39"/>
      <c r="N30" s="38"/>
      <c r="O30" s="48"/>
      <c r="P30" s="38"/>
    </row>
    <row r="31" spans="1:16" s="32" customFormat="1" ht="36.75" customHeight="1" x14ac:dyDescent="0.2">
      <c r="A31" s="33" t="s">
        <v>60</v>
      </c>
      <c r="B31" s="12" t="s">
        <v>71</v>
      </c>
      <c r="C31" s="49">
        <v>2</v>
      </c>
      <c r="D31" s="50">
        <v>528200</v>
      </c>
      <c r="E31" s="35">
        <f t="shared" si="0"/>
        <v>0</v>
      </c>
      <c r="F31" s="35">
        <f t="shared" si="1"/>
        <v>528200</v>
      </c>
      <c r="G31" s="42">
        <f t="shared" si="8"/>
        <v>0</v>
      </c>
      <c r="H31" s="53">
        <v>30000</v>
      </c>
      <c r="I31" s="54">
        <v>0</v>
      </c>
      <c r="J31" s="36">
        <f>SUM(I31/H31)</f>
        <v>0</v>
      </c>
      <c r="K31" s="40">
        <v>498200</v>
      </c>
      <c r="L31" s="41">
        <v>0</v>
      </c>
      <c r="M31" s="42">
        <f>SUM(L31/K31)</f>
        <v>0</v>
      </c>
      <c r="N31" s="38"/>
      <c r="O31" s="48"/>
      <c r="P31" s="38"/>
    </row>
    <row r="32" spans="1:16" s="32" customFormat="1" ht="36.75" customHeight="1" x14ac:dyDescent="0.2">
      <c r="A32" s="33" t="s">
        <v>60</v>
      </c>
      <c r="B32" s="12" t="s">
        <v>71</v>
      </c>
      <c r="C32" s="49">
        <v>3</v>
      </c>
      <c r="D32" s="50">
        <v>150000</v>
      </c>
      <c r="E32" s="35">
        <f t="shared" si="0"/>
        <v>0</v>
      </c>
      <c r="F32" s="35">
        <f t="shared" si="1"/>
        <v>150000</v>
      </c>
      <c r="G32" s="42">
        <f t="shared" ref="G32:G33" si="13">SUM(E32/D32)</f>
        <v>0</v>
      </c>
      <c r="H32" s="51"/>
      <c r="I32" s="52"/>
      <c r="J32" s="39"/>
      <c r="K32" s="38"/>
      <c r="L32" s="48"/>
      <c r="M32" s="39"/>
      <c r="N32" s="40">
        <v>150000</v>
      </c>
      <c r="O32" s="41">
        <v>0</v>
      </c>
      <c r="P32" s="42">
        <f>SUM(O32/N32)</f>
        <v>0</v>
      </c>
    </row>
    <row r="33" spans="1:16" s="32" customFormat="1" ht="36.75" customHeight="1" x14ac:dyDescent="0.2">
      <c r="A33" s="33" t="s">
        <v>60</v>
      </c>
      <c r="B33" s="12" t="s">
        <v>72</v>
      </c>
      <c r="C33" s="49">
        <v>4</v>
      </c>
      <c r="D33" s="50">
        <v>595100</v>
      </c>
      <c r="E33" s="35">
        <f t="shared" ref="E33" si="14">SUM(I33+L33+O33)</f>
        <v>0</v>
      </c>
      <c r="F33" s="35">
        <f t="shared" ref="F33" si="15">SUM(D33-E33)</f>
        <v>595100</v>
      </c>
      <c r="G33" s="42">
        <f t="shared" si="13"/>
        <v>0</v>
      </c>
      <c r="H33" s="53">
        <v>595100</v>
      </c>
      <c r="I33" s="54">
        <v>0</v>
      </c>
      <c r="J33" s="36">
        <f>SUM(I33/H33)</f>
        <v>0</v>
      </c>
      <c r="K33" s="38"/>
      <c r="L33" s="48"/>
      <c r="M33" s="39"/>
      <c r="N33" s="38"/>
      <c r="O33" s="48"/>
      <c r="P33" s="38"/>
    </row>
    <row r="34" spans="1:16" s="32" customFormat="1" ht="36.75" customHeight="1" x14ac:dyDescent="0.2">
      <c r="A34" s="33" t="s">
        <v>60</v>
      </c>
      <c r="B34" s="12" t="s">
        <v>45</v>
      </c>
      <c r="C34" s="49">
        <v>1</v>
      </c>
      <c r="D34" s="50">
        <v>330000</v>
      </c>
      <c r="E34" s="35">
        <f t="shared" si="0"/>
        <v>101699.56</v>
      </c>
      <c r="F34" s="35">
        <f t="shared" si="1"/>
        <v>228300.44</v>
      </c>
      <c r="G34" s="42">
        <f t="shared" si="8"/>
        <v>0.30818048484848481</v>
      </c>
      <c r="H34" s="51"/>
      <c r="I34" s="52"/>
      <c r="J34" s="39"/>
      <c r="K34" s="40">
        <v>230000</v>
      </c>
      <c r="L34" s="41">
        <v>1699.56</v>
      </c>
      <c r="M34" s="42">
        <f>SUM(L34/K34)</f>
        <v>7.3893913043478259E-3</v>
      </c>
      <c r="N34" s="40">
        <v>100000</v>
      </c>
      <c r="O34" s="41">
        <v>100000</v>
      </c>
      <c r="P34" s="42">
        <f>SUM(O34/N34)</f>
        <v>1</v>
      </c>
    </row>
    <row r="35" spans="1:16" s="32" customFormat="1" ht="36.75" customHeight="1" x14ac:dyDescent="0.2">
      <c r="A35" s="33" t="s">
        <v>60</v>
      </c>
      <c r="B35" s="12" t="s">
        <v>73</v>
      </c>
      <c r="C35" s="49">
        <v>2</v>
      </c>
      <c r="D35" s="50">
        <v>16500</v>
      </c>
      <c r="E35" s="35">
        <f t="shared" si="0"/>
        <v>11154</v>
      </c>
      <c r="F35" s="35">
        <f t="shared" si="1"/>
        <v>5346</v>
      </c>
      <c r="G35" s="42">
        <f t="shared" ref="G35" si="16">SUM(E35/D35)</f>
        <v>0.67600000000000005</v>
      </c>
      <c r="H35" s="51"/>
      <c r="I35" s="52"/>
      <c r="J35" s="39"/>
      <c r="K35" s="38"/>
      <c r="L35" s="48"/>
      <c r="M35" s="39"/>
      <c r="N35" s="40">
        <v>16500</v>
      </c>
      <c r="O35" s="41">
        <v>11154</v>
      </c>
      <c r="P35" s="42">
        <f>SUM(O35/N35)</f>
        <v>0.67600000000000005</v>
      </c>
    </row>
    <row r="36" spans="1:16" s="32" customFormat="1" ht="36.75" customHeight="1" x14ac:dyDescent="0.2">
      <c r="A36" s="33" t="s">
        <v>61</v>
      </c>
      <c r="B36" s="12" t="s">
        <v>36</v>
      </c>
      <c r="C36" s="49">
        <v>1</v>
      </c>
      <c r="D36" s="50">
        <v>40000</v>
      </c>
      <c r="E36" s="35">
        <f t="shared" si="0"/>
        <v>40000</v>
      </c>
      <c r="F36" s="35">
        <f t="shared" si="1"/>
        <v>0</v>
      </c>
      <c r="G36" s="42">
        <f t="shared" si="8"/>
        <v>1</v>
      </c>
      <c r="H36" s="35">
        <v>40000</v>
      </c>
      <c r="I36" s="37">
        <v>40000</v>
      </c>
      <c r="J36" s="36">
        <f>SUM(I36/H36)</f>
        <v>1</v>
      </c>
      <c r="K36" s="38"/>
      <c r="L36" s="48"/>
      <c r="M36" s="39"/>
      <c r="N36" s="38"/>
      <c r="O36" s="48"/>
      <c r="P36" s="38"/>
    </row>
    <row r="37" spans="1:16" s="32" customFormat="1" ht="36.75" customHeight="1" x14ac:dyDescent="0.2">
      <c r="A37" s="33" t="s">
        <v>61</v>
      </c>
      <c r="B37" s="12" t="s">
        <v>37</v>
      </c>
      <c r="C37" s="49">
        <v>1</v>
      </c>
      <c r="D37" s="50">
        <v>21000</v>
      </c>
      <c r="E37" s="35">
        <f t="shared" si="0"/>
        <v>21000</v>
      </c>
      <c r="F37" s="35">
        <f t="shared" si="1"/>
        <v>0</v>
      </c>
      <c r="G37" s="42">
        <f t="shared" si="8"/>
        <v>1</v>
      </c>
      <c r="H37" s="35">
        <v>21000</v>
      </c>
      <c r="I37" s="37">
        <v>21000</v>
      </c>
      <c r="J37" s="36">
        <f>SUM(I37/H37)</f>
        <v>1</v>
      </c>
      <c r="K37" s="38"/>
      <c r="L37" s="48"/>
      <c r="M37" s="39"/>
      <c r="N37" s="38"/>
      <c r="O37" s="48"/>
      <c r="P37" s="38"/>
    </row>
    <row r="38" spans="1:16" s="32" customFormat="1" ht="36.75" customHeight="1" x14ac:dyDescent="0.2">
      <c r="A38" s="33" t="s">
        <v>60</v>
      </c>
      <c r="B38" s="12" t="s">
        <v>19</v>
      </c>
      <c r="C38" s="49">
        <v>1</v>
      </c>
      <c r="D38" s="50">
        <v>25000</v>
      </c>
      <c r="E38" s="35">
        <f t="shared" si="0"/>
        <v>25000</v>
      </c>
      <c r="F38" s="35">
        <f t="shared" si="1"/>
        <v>0</v>
      </c>
      <c r="G38" s="42">
        <f t="shared" si="8"/>
        <v>1</v>
      </c>
      <c r="H38" s="35">
        <v>25000</v>
      </c>
      <c r="I38" s="37">
        <v>25000</v>
      </c>
      <c r="J38" s="36">
        <f>SUM(I38/H38)</f>
        <v>1</v>
      </c>
      <c r="K38" s="38"/>
      <c r="L38" s="48"/>
      <c r="M38" s="39"/>
      <c r="N38" s="38"/>
      <c r="O38" s="48"/>
      <c r="P38" s="38"/>
    </row>
    <row r="39" spans="1:16" s="32" customFormat="1" ht="36.75" customHeight="1" x14ac:dyDescent="0.2">
      <c r="A39" s="33" t="s">
        <v>61</v>
      </c>
      <c r="B39" s="12" t="s">
        <v>19</v>
      </c>
      <c r="C39" s="49">
        <v>2</v>
      </c>
      <c r="D39" s="50">
        <v>45000</v>
      </c>
      <c r="E39" s="35">
        <f t="shared" si="0"/>
        <v>19079</v>
      </c>
      <c r="F39" s="35">
        <f t="shared" si="1"/>
        <v>25921</v>
      </c>
      <c r="G39" s="42">
        <f t="shared" si="8"/>
        <v>0.42397777777777779</v>
      </c>
      <c r="H39" s="44"/>
      <c r="I39" s="45"/>
      <c r="J39" s="46"/>
      <c r="K39" s="40">
        <v>45000</v>
      </c>
      <c r="L39" s="41">
        <v>19079</v>
      </c>
      <c r="M39" s="42">
        <f t="shared" ref="M39:M45" si="17">SUM(L39/K39)</f>
        <v>0.42397777777777779</v>
      </c>
      <c r="N39" s="38"/>
      <c r="O39" s="48"/>
      <c r="P39" s="38"/>
    </row>
    <row r="40" spans="1:16" s="32" customFormat="1" ht="36.75" customHeight="1" x14ac:dyDescent="0.2">
      <c r="A40" s="33" t="s">
        <v>61</v>
      </c>
      <c r="B40" s="12" t="s">
        <v>20</v>
      </c>
      <c r="C40" s="49">
        <v>1</v>
      </c>
      <c r="D40" s="50">
        <v>325000</v>
      </c>
      <c r="E40" s="35">
        <f t="shared" si="0"/>
        <v>324732</v>
      </c>
      <c r="F40" s="35">
        <f t="shared" si="1"/>
        <v>268</v>
      </c>
      <c r="G40" s="42">
        <f t="shared" si="8"/>
        <v>0.99917538461538458</v>
      </c>
      <c r="H40" s="44"/>
      <c r="I40" s="45"/>
      <c r="J40" s="46"/>
      <c r="K40" s="40">
        <v>325000</v>
      </c>
      <c r="L40" s="41">
        <v>324732</v>
      </c>
      <c r="M40" s="42">
        <f t="shared" si="17"/>
        <v>0.99917538461538458</v>
      </c>
      <c r="N40" s="38"/>
      <c r="O40" s="48"/>
      <c r="P40" s="38"/>
    </row>
    <row r="41" spans="1:16" s="32" customFormat="1" ht="36.75" customHeight="1" x14ac:dyDescent="0.2">
      <c r="A41" s="33" t="s">
        <v>61</v>
      </c>
      <c r="B41" s="12" t="s">
        <v>20</v>
      </c>
      <c r="C41" s="49">
        <v>2</v>
      </c>
      <c r="D41" s="50">
        <v>46729</v>
      </c>
      <c r="E41" s="35">
        <f t="shared" ref="E41:E74" si="18">SUM(I41+L41+O41)</f>
        <v>46729</v>
      </c>
      <c r="F41" s="35">
        <f t="shared" si="1"/>
        <v>0</v>
      </c>
      <c r="G41" s="42">
        <f t="shared" si="8"/>
        <v>1</v>
      </c>
      <c r="H41" s="44"/>
      <c r="I41" s="45"/>
      <c r="J41" s="46"/>
      <c r="K41" s="40">
        <v>46729</v>
      </c>
      <c r="L41" s="41">
        <v>46729</v>
      </c>
      <c r="M41" s="42">
        <f t="shared" si="17"/>
        <v>1</v>
      </c>
      <c r="N41" s="38"/>
      <c r="O41" s="48"/>
      <c r="P41" s="38"/>
    </row>
    <row r="42" spans="1:16" s="32" customFormat="1" ht="36.75" customHeight="1" x14ac:dyDescent="0.2">
      <c r="A42" s="33" t="s">
        <v>61</v>
      </c>
      <c r="B42" s="12" t="s">
        <v>20</v>
      </c>
      <c r="C42" s="49">
        <v>3</v>
      </c>
      <c r="D42" s="50">
        <v>150000</v>
      </c>
      <c r="E42" s="35">
        <f t="shared" si="18"/>
        <v>150000</v>
      </c>
      <c r="F42" s="50">
        <f t="shared" ref="F42:F43" si="19">SUM(D42-E42)</f>
        <v>0</v>
      </c>
      <c r="G42" s="42">
        <f t="shared" si="8"/>
        <v>1</v>
      </c>
      <c r="H42" s="44"/>
      <c r="I42" s="45"/>
      <c r="J42" s="46"/>
      <c r="K42" s="40">
        <v>150000</v>
      </c>
      <c r="L42" s="41">
        <v>150000</v>
      </c>
      <c r="M42" s="42">
        <f t="shared" si="17"/>
        <v>1</v>
      </c>
      <c r="N42" s="38"/>
      <c r="O42" s="48"/>
      <c r="P42" s="38"/>
    </row>
    <row r="43" spans="1:16" s="32" customFormat="1" ht="36.75" customHeight="1" x14ac:dyDescent="0.2">
      <c r="A43" s="33" t="s">
        <v>61</v>
      </c>
      <c r="B43" s="12" t="s">
        <v>20</v>
      </c>
      <c r="C43" s="49">
        <v>4</v>
      </c>
      <c r="D43" s="50">
        <v>344600</v>
      </c>
      <c r="E43" s="35">
        <f t="shared" si="18"/>
        <v>331032.33</v>
      </c>
      <c r="F43" s="50">
        <f t="shared" si="19"/>
        <v>13567.669999999984</v>
      </c>
      <c r="G43" s="42">
        <f t="shared" si="8"/>
        <v>0.96062777132907728</v>
      </c>
      <c r="H43" s="35">
        <v>40000</v>
      </c>
      <c r="I43" s="37">
        <f>27688+[1]TS!$J$35</f>
        <v>27683.33</v>
      </c>
      <c r="J43" s="36">
        <f>SUM(I43/H43)</f>
        <v>0.69208325000000004</v>
      </c>
      <c r="K43" s="40">
        <v>304600</v>
      </c>
      <c r="L43" s="41">
        <v>303349</v>
      </c>
      <c r="M43" s="42">
        <f t="shared" si="17"/>
        <v>0.99589297439264612</v>
      </c>
      <c r="N43" s="38"/>
      <c r="O43" s="48"/>
      <c r="P43" s="38"/>
    </row>
    <row r="44" spans="1:16" s="32" customFormat="1" ht="36.75" customHeight="1" x14ac:dyDescent="0.2">
      <c r="A44" s="33" t="s">
        <v>61</v>
      </c>
      <c r="B44" s="12" t="s">
        <v>21</v>
      </c>
      <c r="C44" s="49">
        <v>1</v>
      </c>
      <c r="D44" s="50">
        <v>175800</v>
      </c>
      <c r="E44" s="35">
        <f t="shared" si="18"/>
        <v>151463</v>
      </c>
      <c r="F44" s="35">
        <f t="shared" ref="F44:F52" si="20">SUM(D44-E44)</f>
        <v>24337</v>
      </c>
      <c r="G44" s="42">
        <f t="shared" si="8"/>
        <v>0.86156427758816834</v>
      </c>
      <c r="H44" s="35">
        <v>40000</v>
      </c>
      <c r="I44" s="37">
        <v>40284</v>
      </c>
      <c r="J44" s="36">
        <f>SUM(I44/H44)</f>
        <v>1.0071000000000001</v>
      </c>
      <c r="K44" s="40">
        <v>80000</v>
      </c>
      <c r="L44" s="41">
        <v>55379</v>
      </c>
      <c r="M44" s="42">
        <f t="shared" si="17"/>
        <v>0.69223749999999995</v>
      </c>
      <c r="N44" s="40">
        <v>55800</v>
      </c>
      <c r="O44" s="41">
        <v>55800</v>
      </c>
      <c r="P44" s="42">
        <f>SUM(O44/N44)</f>
        <v>1</v>
      </c>
    </row>
    <row r="45" spans="1:16" s="32" customFormat="1" ht="36.75" customHeight="1" x14ac:dyDescent="0.2">
      <c r="A45" s="33" t="s">
        <v>60</v>
      </c>
      <c r="B45" s="12" t="s">
        <v>21</v>
      </c>
      <c r="C45" s="49">
        <v>2</v>
      </c>
      <c r="D45" s="50">
        <v>250000</v>
      </c>
      <c r="E45" s="35">
        <f t="shared" si="18"/>
        <v>37125</v>
      </c>
      <c r="F45" s="35">
        <f t="shared" si="20"/>
        <v>212875</v>
      </c>
      <c r="G45" s="42">
        <f t="shared" si="8"/>
        <v>0.14849999999999999</v>
      </c>
      <c r="H45" s="44"/>
      <c r="I45" s="45"/>
      <c r="J45" s="46"/>
      <c r="K45" s="40">
        <v>250000</v>
      </c>
      <c r="L45" s="41">
        <v>37125</v>
      </c>
      <c r="M45" s="42">
        <f t="shared" si="17"/>
        <v>0.14849999999999999</v>
      </c>
      <c r="N45" s="38"/>
      <c r="O45" s="48"/>
      <c r="P45" s="38"/>
    </row>
    <row r="46" spans="1:16" s="32" customFormat="1" ht="36.75" customHeight="1" x14ac:dyDescent="0.2">
      <c r="A46" s="33" t="s">
        <v>60</v>
      </c>
      <c r="B46" s="12" t="s">
        <v>21</v>
      </c>
      <c r="C46" s="49">
        <v>3</v>
      </c>
      <c r="D46" s="50">
        <v>541585</v>
      </c>
      <c r="E46" s="35">
        <f t="shared" si="18"/>
        <v>221632.34624999997</v>
      </c>
      <c r="F46" s="35">
        <f t="shared" si="20"/>
        <v>319952.65375000006</v>
      </c>
      <c r="G46" s="42">
        <f t="shared" si="8"/>
        <v>0.40922910761930253</v>
      </c>
      <c r="H46" s="35">
        <v>345000</v>
      </c>
      <c r="I46" s="37">
        <f>9514+[1]TS!$J$36</f>
        <v>183662.34624999997</v>
      </c>
      <c r="J46" s="36">
        <f t="shared" ref="J46:J53" si="21">SUM(I46/H46)</f>
        <v>0.53235462681159418</v>
      </c>
      <c r="K46" s="38"/>
      <c r="L46" s="48"/>
      <c r="M46" s="39"/>
      <c r="N46" s="40">
        <v>196585</v>
      </c>
      <c r="O46" s="41">
        <f>93770-O44</f>
        <v>37970</v>
      </c>
      <c r="P46" s="42">
        <f>SUM(O46/N46)</f>
        <v>0.1931480021364804</v>
      </c>
    </row>
    <row r="47" spans="1:16" s="32" customFormat="1" ht="36.75" customHeight="1" x14ac:dyDescent="0.2">
      <c r="A47" s="33" t="s">
        <v>60</v>
      </c>
      <c r="B47" s="12" t="s">
        <v>74</v>
      </c>
      <c r="C47" s="49">
        <v>1</v>
      </c>
      <c r="D47" s="50">
        <v>178000</v>
      </c>
      <c r="E47" s="35">
        <f t="shared" si="18"/>
        <v>0</v>
      </c>
      <c r="F47" s="35">
        <f t="shared" si="20"/>
        <v>178000</v>
      </c>
      <c r="G47" s="42">
        <f t="shared" ref="G47" si="22">SUM(E47/D47)</f>
        <v>0</v>
      </c>
      <c r="H47" s="35">
        <v>178000</v>
      </c>
      <c r="I47" s="37">
        <v>0</v>
      </c>
      <c r="J47" s="56">
        <f t="shared" si="21"/>
        <v>0</v>
      </c>
      <c r="K47" s="38"/>
      <c r="L47" s="48"/>
      <c r="M47" s="39"/>
      <c r="N47" s="38"/>
      <c r="O47" s="48"/>
      <c r="P47" s="38"/>
    </row>
    <row r="48" spans="1:16" s="32" customFormat="1" ht="36.75" customHeight="1" x14ac:dyDescent="0.2">
      <c r="A48" s="33" t="s">
        <v>60</v>
      </c>
      <c r="B48" s="12" t="s">
        <v>22</v>
      </c>
      <c r="C48" s="49">
        <v>1</v>
      </c>
      <c r="D48" s="50">
        <v>175000</v>
      </c>
      <c r="E48" s="35">
        <f t="shared" si="18"/>
        <v>44061.876249999994</v>
      </c>
      <c r="F48" s="35">
        <f t="shared" si="20"/>
        <v>130938.12375</v>
      </c>
      <c r="G48" s="42">
        <f t="shared" si="8"/>
        <v>0.25178214999999998</v>
      </c>
      <c r="H48" s="35">
        <v>80000</v>
      </c>
      <c r="I48" s="37">
        <f>3400+[1]TS!$J$37</f>
        <v>44061.876249999994</v>
      </c>
      <c r="J48" s="36">
        <f t="shared" si="21"/>
        <v>0.55077345312499992</v>
      </c>
      <c r="K48" s="40">
        <v>95000</v>
      </c>
      <c r="L48" s="41">
        <v>0</v>
      </c>
      <c r="M48" s="42">
        <f>SUM(L48/K48)</f>
        <v>0</v>
      </c>
      <c r="N48" s="38"/>
      <c r="O48" s="48"/>
      <c r="P48" s="38"/>
    </row>
    <row r="49" spans="1:16" s="32" customFormat="1" ht="36.75" customHeight="1" x14ac:dyDescent="0.2">
      <c r="A49" s="33" t="s">
        <v>60</v>
      </c>
      <c r="B49" s="12" t="s">
        <v>23</v>
      </c>
      <c r="C49" s="49">
        <v>1</v>
      </c>
      <c r="D49" s="50">
        <v>250956</v>
      </c>
      <c r="E49" s="35">
        <f t="shared" si="18"/>
        <v>125085.14625000001</v>
      </c>
      <c r="F49" s="35">
        <f t="shared" si="20"/>
        <v>125870.85374999999</v>
      </c>
      <c r="G49" s="42">
        <f t="shared" si="8"/>
        <v>0.49843457119973222</v>
      </c>
      <c r="H49" s="35">
        <v>149956</v>
      </c>
      <c r="I49" s="37">
        <f>[1]TS!$J$38</f>
        <v>122537.14625000001</v>
      </c>
      <c r="J49" s="36">
        <f t="shared" si="21"/>
        <v>0.81715400684200701</v>
      </c>
      <c r="K49" s="40">
        <v>101000</v>
      </c>
      <c r="L49" s="41">
        <v>2548</v>
      </c>
      <c r="M49" s="42">
        <f>SUM(L49/K49)</f>
        <v>2.5227722772277229E-2</v>
      </c>
      <c r="N49" s="38"/>
      <c r="O49" s="48"/>
      <c r="P49" s="38"/>
    </row>
    <row r="50" spans="1:16" s="32" customFormat="1" ht="36.75" customHeight="1" x14ac:dyDescent="0.2">
      <c r="A50" s="33" t="s">
        <v>60</v>
      </c>
      <c r="B50" s="12" t="s">
        <v>75</v>
      </c>
      <c r="C50" s="49">
        <v>1</v>
      </c>
      <c r="D50" s="50">
        <v>125000</v>
      </c>
      <c r="E50" s="35">
        <f t="shared" si="18"/>
        <v>0</v>
      </c>
      <c r="F50" s="35">
        <f t="shared" si="20"/>
        <v>125000</v>
      </c>
      <c r="G50" s="42">
        <f t="shared" ref="G50" si="23">SUM(E50/D50)</f>
        <v>0</v>
      </c>
      <c r="H50" s="35">
        <v>125000</v>
      </c>
      <c r="I50" s="37">
        <v>0</v>
      </c>
      <c r="J50" s="36">
        <f t="shared" si="21"/>
        <v>0</v>
      </c>
      <c r="K50" s="38"/>
      <c r="L50" s="48"/>
      <c r="M50" s="39"/>
      <c r="N50" s="38"/>
      <c r="O50" s="48"/>
      <c r="P50" s="38"/>
    </row>
    <row r="51" spans="1:16" s="32" customFormat="1" ht="36.75" customHeight="1" x14ac:dyDescent="0.2">
      <c r="A51" s="33" t="s">
        <v>60</v>
      </c>
      <c r="B51" s="12" t="s">
        <v>24</v>
      </c>
      <c r="C51" s="49">
        <v>1</v>
      </c>
      <c r="D51" s="50">
        <v>650000</v>
      </c>
      <c r="E51" s="35">
        <f t="shared" si="18"/>
        <v>75915.126250000001</v>
      </c>
      <c r="F51" s="35">
        <f t="shared" si="20"/>
        <v>574084.87375000003</v>
      </c>
      <c r="G51" s="42">
        <f t="shared" si="8"/>
        <v>0.11679250192307693</v>
      </c>
      <c r="H51" s="35">
        <v>250000</v>
      </c>
      <c r="I51" s="37">
        <f>[1]TS!$J$39</f>
        <v>29515.126250000001</v>
      </c>
      <c r="J51" s="36">
        <f t="shared" si="21"/>
        <v>0.11806050500000001</v>
      </c>
      <c r="K51" s="40">
        <v>300000</v>
      </c>
      <c r="L51" s="41">
        <v>0</v>
      </c>
      <c r="M51" s="42">
        <f>SUM(L51/K51)</f>
        <v>0</v>
      </c>
      <c r="N51" s="40">
        <v>100000</v>
      </c>
      <c r="O51" s="41">
        <v>46400</v>
      </c>
      <c r="P51" s="42">
        <f>SUM(O51/N51)</f>
        <v>0.46400000000000002</v>
      </c>
    </row>
    <row r="52" spans="1:16" s="32" customFormat="1" ht="36.75" customHeight="1" x14ac:dyDescent="0.2">
      <c r="A52" s="33" t="s">
        <v>60</v>
      </c>
      <c r="B52" s="12" t="s">
        <v>76</v>
      </c>
      <c r="C52" s="49">
        <v>2</v>
      </c>
      <c r="D52" s="50">
        <v>150000</v>
      </c>
      <c r="E52" s="35">
        <f t="shared" si="18"/>
        <v>0</v>
      </c>
      <c r="F52" s="35">
        <f t="shared" si="20"/>
        <v>150000</v>
      </c>
      <c r="G52" s="42">
        <f t="shared" ref="G52" si="24">SUM(E52/D52)</f>
        <v>0</v>
      </c>
      <c r="H52" s="35">
        <v>150000</v>
      </c>
      <c r="I52" s="37">
        <v>0</v>
      </c>
      <c r="J52" s="36">
        <f t="shared" si="21"/>
        <v>0</v>
      </c>
      <c r="K52" s="38"/>
      <c r="L52" s="48"/>
      <c r="M52" s="39"/>
      <c r="N52" s="38"/>
      <c r="O52" s="48"/>
      <c r="P52" s="39"/>
    </row>
    <row r="53" spans="1:16" s="32" customFormat="1" ht="36.75" customHeight="1" x14ac:dyDescent="0.2">
      <c r="A53" s="33" t="s">
        <v>61</v>
      </c>
      <c r="B53" s="12" t="s">
        <v>25</v>
      </c>
      <c r="C53" s="49">
        <v>1</v>
      </c>
      <c r="D53" s="50">
        <v>185500</v>
      </c>
      <c r="E53" s="35">
        <f t="shared" si="18"/>
        <v>212255.12125</v>
      </c>
      <c r="F53" s="35">
        <f t="shared" ref="F53:F62" si="25">SUM(D53-E53)</f>
        <v>-26755.121249999997</v>
      </c>
      <c r="G53" s="42">
        <f t="shared" si="8"/>
        <v>1.1442324595687332</v>
      </c>
      <c r="H53" s="35">
        <v>100000</v>
      </c>
      <c r="I53" s="37">
        <f>74785+[1]TS!$J$40</f>
        <v>126755.12125</v>
      </c>
      <c r="J53" s="36">
        <f t="shared" si="21"/>
        <v>1.2675512124999999</v>
      </c>
      <c r="K53" s="40">
        <v>85500</v>
      </c>
      <c r="L53" s="41">
        <v>85500</v>
      </c>
      <c r="M53" s="42">
        <f>SUM(L53/K53)</f>
        <v>1</v>
      </c>
      <c r="N53" s="38"/>
      <c r="O53" s="48"/>
      <c r="P53" s="38"/>
    </row>
    <row r="54" spans="1:16" s="32" customFormat="1" ht="36.75" customHeight="1" x14ac:dyDescent="0.2">
      <c r="A54" s="33" t="s">
        <v>60</v>
      </c>
      <c r="B54" s="12" t="s">
        <v>25</v>
      </c>
      <c r="C54" s="49">
        <v>2</v>
      </c>
      <c r="D54" s="50">
        <v>220000</v>
      </c>
      <c r="E54" s="35">
        <f t="shared" si="18"/>
        <v>15132</v>
      </c>
      <c r="F54" s="35">
        <f t="shared" si="25"/>
        <v>204868</v>
      </c>
      <c r="G54" s="42">
        <f t="shared" si="8"/>
        <v>6.878181818181818E-2</v>
      </c>
      <c r="H54" s="44"/>
      <c r="I54" s="45"/>
      <c r="J54" s="46"/>
      <c r="K54" s="40">
        <v>220000</v>
      </c>
      <c r="L54" s="41">
        <v>15132</v>
      </c>
      <c r="M54" s="42">
        <f>SUM(L54/K54)</f>
        <v>6.878181818181818E-2</v>
      </c>
      <c r="N54" s="38"/>
      <c r="O54" s="48"/>
      <c r="P54" s="38"/>
    </row>
    <row r="55" spans="1:16" s="32" customFormat="1" ht="36.75" customHeight="1" x14ac:dyDescent="0.2">
      <c r="A55" s="33" t="s">
        <v>60</v>
      </c>
      <c r="B55" s="12" t="s">
        <v>25</v>
      </c>
      <c r="C55" s="49">
        <v>3</v>
      </c>
      <c r="D55" s="50">
        <v>170700</v>
      </c>
      <c r="E55" s="35">
        <f t="shared" si="18"/>
        <v>35850</v>
      </c>
      <c r="F55" s="35">
        <f t="shared" si="25"/>
        <v>134850</v>
      </c>
      <c r="G55" s="42">
        <f t="shared" si="8"/>
        <v>0.21001757469244289</v>
      </c>
      <c r="H55" s="44"/>
      <c r="I55" s="45"/>
      <c r="J55" s="46"/>
      <c r="K55" s="38"/>
      <c r="L55" s="48"/>
      <c r="M55" s="39"/>
      <c r="N55" s="40">
        <v>170700</v>
      </c>
      <c r="O55" s="41">
        <v>35850</v>
      </c>
      <c r="P55" s="42">
        <f>SUM(O55/N55)</f>
        <v>0.21001757469244289</v>
      </c>
    </row>
    <row r="56" spans="1:16" s="32" customFormat="1" ht="36.75" customHeight="1" x14ac:dyDescent="0.2">
      <c r="A56" s="33" t="s">
        <v>61</v>
      </c>
      <c r="B56" s="12" t="s">
        <v>26</v>
      </c>
      <c r="C56" s="49">
        <v>1</v>
      </c>
      <c r="D56" s="50">
        <v>128000</v>
      </c>
      <c r="E56" s="35">
        <f t="shared" si="18"/>
        <v>43942</v>
      </c>
      <c r="F56" s="35">
        <f t="shared" si="25"/>
        <v>84058</v>
      </c>
      <c r="G56" s="42">
        <f t="shared" si="8"/>
        <v>0.343296875</v>
      </c>
      <c r="H56" s="35">
        <v>85000</v>
      </c>
      <c r="I56" s="57">
        <v>1342</v>
      </c>
      <c r="J56" s="36">
        <f>SUM(I56/H56)</f>
        <v>1.5788235294117648E-2</v>
      </c>
      <c r="K56" s="40">
        <v>43000</v>
      </c>
      <c r="L56" s="41">
        <v>42600</v>
      </c>
      <c r="M56" s="42">
        <f>SUM(L56/K56)</f>
        <v>0.99069767441860468</v>
      </c>
      <c r="N56" s="38"/>
      <c r="O56" s="48"/>
      <c r="P56" s="38"/>
    </row>
    <row r="57" spans="1:16" s="32" customFormat="1" ht="36.75" customHeight="1" x14ac:dyDescent="0.2">
      <c r="A57" s="33" t="s">
        <v>60</v>
      </c>
      <c r="B57" s="12" t="s">
        <v>26</v>
      </c>
      <c r="C57" s="49">
        <v>2</v>
      </c>
      <c r="D57" s="50">
        <v>1115000</v>
      </c>
      <c r="E57" s="35">
        <f t="shared" si="18"/>
        <v>191958.99624999997</v>
      </c>
      <c r="F57" s="35">
        <f t="shared" si="25"/>
        <v>923041.00375000003</v>
      </c>
      <c r="G57" s="42">
        <f t="shared" si="8"/>
        <v>0.17216053475336321</v>
      </c>
      <c r="H57" s="35">
        <v>420000</v>
      </c>
      <c r="I57" s="37">
        <f>22350+[1]TS!$J$41</f>
        <v>191958.99624999997</v>
      </c>
      <c r="J57" s="36">
        <f>SUM(I57/H57)</f>
        <v>0.45704522916666657</v>
      </c>
      <c r="K57" s="40">
        <v>520000</v>
      </c>
      <c r="L57" s="41">
        <v>0</v>
      </c>
      <c r="M57" s="42">
        <f>SUM(L57/K57)</f>
        <v>0</v>
      </c>
      <c r="N57" s="40">
        <v>175000</v>
      </c>
      <c r="O57" s="41">
        <v>0</v>
      </c>
      <c r="P57" s="42">
        <f>SUM(O57/N57)</f>
        <v>0</v>
      </c>
    </row>
    <row r="58" spans="1:16" s="32" customFormat="1" ht="36.75" customHeight="1" x14ac:dyDescent="0.2">
      <c r="A58" s="33" t="s">
        <v>61</v>
      </c>
      <c r="B58" s="12" t="s">
        <v>27</v>
      </c>
      <c r="C58" s="49">
        <v>1</v>
      </c>
      <c r="D58" s="50">
        <v>85000</v>
      </c>
      <c r="E58" s="35">
        <f t="shared" si="18"/>
        <v>55104</v>
      </c>
      <c r="F58" s="35">
        <f t="shared" si="25"/>
        <v>29896</v>
      </c>
      <c r="G58" s="42">
        <f t="shared" si="8"/>
        <v>0.64828235294117642</v>
      </c>
      <c r="H58" s="44"/>
      <c r="I58" s="45"/>
      <c r="J58" s="46"/>
      <c r="K58" s="40">
        <v>85000</v>
      </c>
      <c r="L58" s="41">
        <v>55104</v>
      </c>
      <c r="M58" s="42">
        <f>SUM(L58/K58)</f>
        <v>0.64828235294117642</v>
      </c>
      <c r="N58" s="38"/>
      <c r="O58" s="48"/>
      <c r="P58" s="38"/>
    </row>
    <row r="59" spans="1:16" s="32" customFormat="1" ht="36.75" customHeight="1" x14ac:dyDescent="0.2">
      <c r="A59" s="33" t="s">
        <v>60</v>
      </c>
      <c r="B59" s="12" t="s">
        <v>27</v>
      </c>
      <c r="C59" s="49">
        <v>2</v>
      </c>
      <c r="D59" s="50">
        <v>759830</v>
      </c>
      <c r="E59" s="35">
        <f t="shared" si="18"/>
        <v>342368.29625000001</v>
      </c>
      <c r="F59" s="35">
        <f t="shared" si="25"/>
        <v>417461.70374999999</v>
      </c>
      <c r="G59" s="42">
        <f t="shared" si="8"/>
        <v>0.45058538916599766</v>
      </c>
      <c r="H59" s="35">
        <v>200700</v>
      </c>
      <c r="I59" s="37">
        <f>131408+[1]TS!$J$42</f>
        <v>167072.29625000001</v>
      </c>
      <c r="J59" s="36">
        <f t="shared" ref="J59:J64" si="26">SUM(I59/H59)</f>
        <v>0.83244791355256609</v>
      </c>
      <c r="K59" s="40">
        <v>322430</v>
      </c>
      <c r="L59" s="41">
        <v>0</v>
      </c>
      <c r="M59" s="42">
        <f>SUM(L59/K59)</f>
        <v>0</v>
      </c>
      <c r="N59" s="40">
        <v>236700</v>
      </c>
      <c r="O59" s="41">
        <v>175296</v>
      </c>
      <c r="P59" s="42">
        <f>SUM(O59/N59)</f>
        <v>0.74058301647655256</v>
      </c>
    </row>
    <row r="60" spans="1:16" s="32" customFormat="1" ht="36.75" customHeight="1" x14ac:dyDescent="0.2">
      <c r="A60" s="33" t="s">
        <v>60</v>
      </c>
      <c r="B60" s="12" t="s">
        <v>77</v>
      </c>
      <c r="C60" s="49">
        <v>3</v>
      </c>
      <c r="D60" s="50">
        <v>80000</v>
      </c>
      <c r="E60" s="35">
        <f t="shared" si="18"/>
        <v>0</v>
      </c>
      <c r="F60" s="35">
        <f t="shared" si="25"/>
        <v>80000</v>
      </c>
      <c r="G60" s="42">
        <f t="shared" ref="G60" si="27">SUM(E60/D60)</f>
        <v>0</v>
      </c>
      <c r="H60" s="35">
        <v>80000</v>
      </c>
      <c r="I60" s="37">
        <v>0</v>
      </c>
      <c r="J60" s="36">
        <f t="shared" si="26"/>
        <v>0</v>
      </c>
      <c r="K60" s="38"/>
      <c r="L60" s="48"/>
      <c r="M60" s="39"/>
      <c r="N60" s="38"/>
      <c r="O60" s="48"/>
      <c r="P60" s="38"/>
    </row>
    <row r="61" spans="1:16" s="32" customFormat="1" ht="36.75" customHeight="1" x14ac:dyDescent="0.2">
      <c r="A61" s="33" t="s">
        <v>61</v>
      </c>
      <c r="B61" s="12" t="s">
        <v>28</v>
      </c>
      <c r="C61" s="49">
        <v>1</v>
      </c>
      <c r="D61" s="50">
        <v>107000</v>
      </c>
      <c r="E61" s="35">
        <f t="shared" si="18"/>
        <v>120043.3425</v>
      </c>
      <c r="F61" s="35">
        <f t="shared" si="25"/>
        <v>-13043.342499999999</v>
      </c>
      <c r="G61" s="42">
        <f t="shared" si="8"/>
        <v>1.1219003971962618</v>
      </c>
      <c r="H61" s="35">
        <v>107000</v>
      </c>
      <c r="I61" s="37">
        <f>123405+[1]TS!$J$45</f>
        <v>120043.3425</v>
      </c>
      <c r="J61" s="36">
        <f t="shared" si="26"/>
        <v>1.1219003971962618</v>
      </c>
      <c r="K61" s="38"/>
      <c r="L61" s="48"/>
      <c r="M61" s="39"/>
      <c r="N61" s="38"/>
      <c r="O61" s="48"/>
      <c r="P61" s="38"/>
    </row>
    <row r="62" spans="1:16" s="32" customFormat="1" ht="36.75" customHeight="1" x14ac:dyDescent="0.2">
      <c r="A62" s="33" t="s">
        <v>60</v>
      </c>
      <c r="B62" s="12" t="s">
        <v>28</v>
      </c>
      <c r="C62" s="49">
        <v>2</v>
      </c>
      <c r="D62" s="50">
        <v>60000</v>
      </c>
      <c r="E62" s="35">
        <f t="shared" si="18"/>
        <v>0</v>
      </c>
      <c r="F62" s="35">
        <f t="shared" si="25"/>
        <v>60000</v>
      </c>
      <c r="G62" s="42">
        <f t="shared" si="8"/>
        <v>0</v>
      </c>
      <c r="H62" s="35">
        <v>60000</v>
      </c>
      <c r="I62" s="37">
        <v>0</v>
      </c>
      <c r="J62" s="36">
        <f t="shared" si="26"/>
        <v>0</v>
      </c>
      <c r="K62" s="38"/>
      <c r="L62" s="48"/>
      <c r="M62" s="39"/>
      <c r="N62" s="38"/>
      <c r="O62" s="48"/>
      <c r="P62" s="38"/>
    </row>
    <row r="63" spans="1:16" s="32" customFormat="1" ht="36.75" customHeight="1" x14ac:dyDescent="0.2">
      <c r="A63" s="33" t="s">
        <v>60</v>
      </c>
      <c r="B63" s="12" t="s">
        <v>78</v>
      </c>
      <c r="C63" s="49">
        <v>3</v>
      </c>
      <c r="D63" s="50">
        <v>35000</v>
      </c>
      <c r="E63" s="35">
        <f t="shared" ref="E63" si="28">SUM(I63+L63+O63)</f>
        <v>0</v>
      </c>
      <c r="F63" s="35">
        <f t="shared" ref="F63" si="29">SUM(D63-E63)</f>
        <v>35000</v>
      </c>
      <c r="G63" s="42">
        <f t="shared" ref="G63" si="30">SUM(E63/D63)</f>
        <v>0</v>
      </c>
      <c r="H63" s="35">
        <v>35000</v>
      </c>
      <c r="I63" s="37">
        <v>0</v>
      </c>
      <c r="J63" s="36">
        <f t="shared" si="26"/>
        <v>0</v>
      </c>
      <c r="K63" s="38"/>
      <c r="L63" s="48"/>
      <c r="M63" s="39"/>
      <c r="N63" s="38"/>
      <c r="O63" s="48"/>
      <c r="P63" s="38"/>
    </row>
    <row r="64" spans="1:16" s="32" customFormat="1" ht="36.75" customHeight="1" x14ac:dyDescent="0.2">
      <c r="A64" s="33" t="s">
        <v>60</v>
      </c>
      <c r="B64" s="12" t="s">
        <v>29</v>
      </c>
      <c r="C64" s="49">
        <v>1</v>
      </c>
      <c r="D64" s="50">
        <v>95000</v>
      </c>
      <c r="E64" s="35">
        <f t="shared" si="18"/>
        <v>95000.086249999993</v>
      </c>
      <c r="F64" s="35">
        <v>0</v>
      </c>
      <c r="G64" s="42">
        <f t="shared" si="8"/>
        <v>1.0000009078947367</v>
      </c>
      <c r="H64" s="35">
        <v>95000</v>
      </c>
      <c r="I64" s="37">
        <f>27975+[1]TS!$J$46-5169</f>
        <v>95000.086249999993</v>
      </c>
      <c r="J64" s="36">
        <f t="shared" si="26"/>
        <v>1.0000009078947367</v>
      </c>
      <c r="K64" s="38"/>
      <c r="L64" s="48"/>
      <c r="M64" s="39"/>
      <c r="N64" s="38"/>
      <c r="O64" s="48"/>
      <c r="P64" s="38"/>
    </row>
    <row r="65" spans="1:19" s="32" customFormat="1" ht="36.75" customHeight="1" x14ac:dyDescent="0.2">
      <c r="A65" s="33" t="s">
        <v>60</v>
      </c>
      <c r="B65" s="12" t="s">
        <v>29</v>
      </c>
      <c r="C65" s="49">
        <v>2</v>
      </c>
      <c r="D65" s="50">
        <v>250000</v>
      </c>
      <c r="E65" s="35">
        <f t="shared" si="18"/>
        <v>77530</v>
      </c>
      <c r="F65" s="35">
        <f t="shared" ref="F65:F74" si="31">SUM(D65-E65)</f>
        <v>172470</v>
      </c>
      <c r="G65" s="42">
        <f t="shared" si="8"/>
        <v>0.31012000000000001</v>
      </c>
      <c r="H65" s="44"/>
      <c r="I65" s="45"/>
      <c r="J65" s="46"/>
      <c r="K65" s="38"/>
      <c r="L65" s="48"/>
      <c r="M65" s="39"/>
      <c r="N65" s="40">
        <v>250000</v>
      </c>
      <c r="O65" s="41">
        <v>77530</v>
      </c>
      <c r="P65" s="42">
        <f>SUM(O65/N65)</f>
        <v>0.31012000000000001</v>
      </c>
    </row>
    <row r="66" spans="1:19" s="32" customFormat="1" ht="36.75" customHeight="1" x14ac:dyDescent="0.2">
      <c r="A66" s="33" t="s">
        <v>60</v>
      </c>
      <c r="B66" s="12" t="s">
        <v>79</v>
      </c>
      <c r="C66" s="49">
        <v>3</v>
      </c>
      <c r="D66" s="50">
        <v>47400</v>
      </c>
      <c r="E66" s="35">
        <f t="shared" si="18"/>
        <v>5169</v>
      </c>
      <c r="F66" s="35">
        <f t="shared" si="31"/>
        <v>42231</v>
      </c>
      <c r="G66" s="42">
        <f t="shared" ref="G66" si="32">SUM(E66/D66)</f>
        <v>0.1090506329113924</v>
      </c>
      <c r="H66" s="35">
        <v>47400</v>
      </c>
      <c r="I66" s="37">
        <f>5169</f>
        <v>5169</v>
      </c>
      <c r="J66" s="36">
        <f>SUM(I66/H66)</f>
        <v>0.1090506329113924</v>
      </c>
      <c r="K66" s="38"/>
      <c r="L66" s="48"/>
      <c r="M66" s="39"/>
      <c r="N66" s="38"/>
      <c r="O66" s="48"/>
      <c r="P66" s="38"/>
    </row>
    <row r="67" spans="1:19" s="32" customFormat="1" ht="36.75" customHeight="1" x14ac:dyDescent="0.2">
      <c r="A67" s="33" t="s">
        <v>60</v>
      </c>
      <c r="B67" s="12" t="s">
        <v>63</v>
      </c>
      <c r="C67" s="49">
        <v>4</v>
      </c>
      <c r="D67" s="50">
        <v>181000</v>
      </c>
      <c r="E67" s="35">
        <f t="shared" ref="E67" si="33">SUM(I67+L67+O67)</f>
        <v>0</v>
      </c>
      <c r="F67" s="35">
        <f t="shared" ref="F67" si="34">SUM(D67-E67)</f>
        <v>181000</v>
      </c>
      <c r="G67" s="42">
        <f t="shared" ref="G67" si="35">SUM(E67/D67)</f>
        <v>0</v>
      </c>
      <c r="H67" s="35">
        <v>181000</v>
      </c>
      <c r="I67" s="37">
        <v>0</v>
      </c>
      <c r="J67" s="36">
        <f>SUM(I67/H67)</f>
        <v>0</v>
      </c>
      <c r="K67" s="38"/>
      <c r="L67" s="48"/>
      <c r="M67" s="39"/>
      <c r="N67" s="38"/>
      <c r="O67" s="48"/>
      <c r="P67" s="38"/>
    </row>
    <row r="68" spans="1:19" s="32" customFormat="1" ht="36.75" customHeight="1" x14ac:dyDescent="0.2">
      <c r="A68" s="33" t="s">
        <v>61</v>
      </c>
      <c r="B68" s="12" t="s">
        <v>38</v>
      </c>
      <c r="C68" s="49">
        <v>1</v>
      </c>
      <c r="D68" s="50">
        <v>100000</v>
      </c>
      <c r="E68" s="35">
        <f t="shared" si="18"/>
        <v>92832</v>
      </c>
      <c r="F68" s="35">
        <f t="shared" si="31"/>
        <v>7168</v>
      </c>
      <c r="G68" s="42">
        <f t="shared" si="8"/>
        <v>0.92832000000000003</v>
      </c>
      <c r="H68" s="35">
        <v>100000</v>
      </c>
      <c r="I68" s="37">
        <v>92832</v>
      </c>
      <c r="J68" s="36">
        <f>SUM(I68/H68)</f>
        <v>0.92832000000000003</v>
      </c>
      <c r="K68" s="38"/>
      <c r="L68" s="48"/>
      <c r="M68" s="39"/>
      <c r="N68" s="38"/>
      <c r="O68" s="48"/>
      <c r="P68" s="38"/>
    </row>
    <row r="69" spans="1:19" s="32" customFormat="1" ht="36.75" customHeight="1" x14ac:dyDescent="0.2">
      <c r="A69" s="33" t="s">
        <v>61</v>
      </c>
      <c r="B69" s="12" t="s">
        <v>30</v>
      </c>
      <c r="C69" s="49">
        <v>1</v>
      </c>
      <c r="D69" s="50">
        <v>145000</v>
      </c>
      <c r="E69" s="35">
        <f t="shared" si="18"/>
        <v>139011</v>
      </c>
      <c r="F69" s="35">
        <f t="shared" si="31"/>
        <v>5989</v>
      </c>
      <c r="G69" s="42">
        <f t="shared" si="8"/>
        <v>0.95869655172413792</v>
      </c>
      <c r="H69" s="44"/>
      <c r="I69" s="45"/>
      <c r="J69" s="46"/>
      <c r="K69" s="40">
        <v>145000</v>
      </c>
      <c r="L69" s="41">
        <v>139011</v>
      </c>
      <c r="M69" s="42">
        <f>SUM(L69/K69)</f>
        <v>0.95869655172413792</v>
      </c>
      <c r="N69" s="38"/>
      <c r="O69" s="48"/>
      <c r="P69" s="38"/>
    </row>
    <row r="70" spans="1:19" s="32" customFormat="1" ht="36.75" customHeight="1" x14ac:dyDescent="0.2">
      <c r="A70" s="33" t="s">
        <v>60</v>
      </c>
      <c r="B70" s="12" t="s">
        <v>30</v>
      </c>
      <c r="C70" s="49">
        <v>2</v>
      </c>
      <c r="D70" s="50">
        <v>925763</v>
      </c>
      <c r="E70" s="35">
        <f t="shared" si="18"/>
        <v>362048</v>
      </c>
      <c r="F70" s="35">
        <f t="shared" si="31"/>
        <v>563715</v>
      </c>
      <c r="G70" s="42">
        <f t="shared" si="8"/>
        <v>0.39108065455197494</v>
      </c>
      <c r="H70" s="35">
        <v>140763</v>
      </c>
      <c r="I70" s="37">
        <v>0</v>
      </c>
      <c r="J70" s="36">
        <f>SUM(I70/H70)</f>
        <v>0</v>
      </c>
      <c r="K70" s="40">
        <v>415000</v>
      </c>
      <c r="L70" s="41">
        <v>100905</v>
      </c>
      <c r="M70" s="42">
        <f>SUM(L70/K70)</f>
        <v>0.24314457831325301</v>
      </c>
      <c r="N70" s="40">
        <v>370000</v>
      </c>
      <c r="O70" s="41">
        <v>261143</v>
      </c>
      <c r="P70" s="42">
        <f>SUM(O70/N70)</f>
        <v>0.70579189189189184</v>
      </c>
    </row>
    <row r="71" spans="1:19" s="32" customFormat="1" ht="36.75" customHeight="1" x14ac:dyDescent="0.2">
      <c r="A71" s="33" t="s">
        <v>61</v>
      </c>
      <c r="B71" s="12" t="s">
        <v>39</v>
      </c>
      <c r="C71" s="49">
        <v>1</v>
      </c>
      <c r="D71" s="50">
        <v>131000</v>
      </c>
      <c r="E71" s="35">
        <f>SUM(I71+L71+O71)</f>
        <v>128801</v>
      </c>
      <c r="F71" s="35">
        <f>SUM(D71-E71)</f>
        <v>2199</v>
      </c>
      <c r="G71" s="42">
        <f>SUM(E71/D71)</f>
        <v>0.98321374045801524</v>
      </c>
      <c r="H71" s="50">
        <v>86000</v>
      </c>
      <c r="I71" s="37">
        <v>86000</v>
      </c>
      <c r="J71" s="36">
        <f>SUM(I71/H71)</f>
        <v>1</v>
      </c>
      <c r="K71" s="40">
        <v>45000</v>
      </c>
      <c r="L71" s="41">
        <v>42801</v>
      </c>
      <c r="M71" s="42">
        <f>SUM(L71/K71)</f>
        <v>0.95113333333333339</v>
      </c>
      <c r="N71" s="38"/>
      <c r="O71" s="48"/>
      <c r="P71" s="38"/>
      <c r="Q71" s="58"/>
      <c r="R71" s="58"/>
      <c r="S71" s="58"/>
    </row>
    <row r="72" spans="1:19" s="32" customFormat="1" ht="36.75" customHeight="1" x14ac:dyDescent="0.2">
      <c r="A72" s="33" t="s">
        <v>60</v>
      </c>
      <c r="B72" s="12" t="s">
        <v>64</v>
      </c>
      <c r="C72" s="49">
        <v>2</v>
      </c>
      <c r="D72" s="50">
        <v>100000</v>
      </c>
      <c r="E72" s="35">
        <f>SUM(I72+L72+O72)</f>
        <v>0</v>
      </c>
      <c r="F72" s="35">
        <f>SUM(D72-E72)</f>
        <v>100000</v>
      </c>
      <c r="G72" s="42">
        <f>SUM(E72/D72)</f>
        <v>0</v>
      </c>
      <c r="H72" s="50">
        <v>100000</v>
      </c>
      <c r="I72" s="37">
        <v>0</v>
      </c>
      <c r="J72" s="36">
        <f>SUM(I72/H72)</f>
        <v>0</v>
      </c>
      <c r="K72" s="38"/>
      <c r="L72" s="48"/>
      <c r="M72" s="39"/>
      <c r="N72" s="38"/>
      <c r="O72" s="48"/>
      <c r="P72" s="38"/>
      <c r="Q72" s="58"/>
      <c r="R72" s="58"/>
      <c r="S72" s="58"/>
    </row>
    <row r="73" spans="1:19" s="32" customFormat="1" ht="36.75" customHeight="1" x14ac:dyDescent="0.2">
      <c r="A73" s="33" t="s">
        <v>61</v>
      </c>
      <c r="B73" s="12" t="s">
        <v>40</v>
      </c>
      <c r="C73" s="49">
        <v>1</v>
      </c>
      <c r="D73" s="50">
        <v>100000</v>
      </c>
      <c r="E73" s="35">
        <f t="shared" si="18"/>
        <v>111693.41250000001</v>
      </c>
      <c r="F73" s="35">
        <f t="shared" si="31"/>
        <v>-11693.412500000006</v>
      </c>
      <c r="G73" s="42">
        <f t="shared" si="8"/>
        <v>1.116934125</v>
      </c>
      <c r="H73" s="35">
        <v>100000</v>
      </c>
      <c r="I73" s="37">
        <f>94729+[1]TS!$J$47+[1]TS!$J$48</f>
        <v>111693.41250000001</v>
      </c>
      <c r="J73" s="36">
        <f>SUM(I73/H73)</f>
        <v>1.116934125</v>
      </c>
      <c r="K73" s="38"/>
      <c r="L73" s="48"/>
      <c r="M73" s="39"/>
      <c r="N73" s="38"/>
      <c r="O73" s="48"/>
      <c r="P73" s="38"/>
    </row>
    <row r="74" spans="1:19" s="32" customFormat="1" ht="36.75" customHeight="1" x14ac:dyDescent="0.2">
      <c r="A74" s="33" t="s">
        <v>61</v>
      </c>
      <c r="B74" s="12" t="s">
        <v>41</v>
      </c>
      <c r="C74" s="49">
        <v>1</v>
      </c>
      <c r="D74" s="50">
        <v>46729</v>
      </c>
      <c r="E74" s="35">
        <f t="shared" si="18"/>
        <v>35360</v>
      </c>
      <c r="F74" s="35">
        <f t="shared" si="31"/>
        <v>11369</v>
      </c>
      <c r="G74" s="42">
        <f t="shared" si="8"/>
        <v>0.75670354597787237</v>
      </c>
      <c r="H74" s="44"/>
      <c r="I74" s="45"/>
      <c r="J74" s="46"/>
      <c r="K74" s="40">
        <v>46729</v>
      </c>
      <c r="L74" s="41">
        <v>35360</v>
      </c>
      <c r="M74" s="42">
        <f>SUM(L74/K74)</f>
        <v>0.75670354597787237</v>
      </c>
      <c r="N74" s="38"/>
      <c r="O74" s="48"/>
      <c r="P74" s="38"/>
      <c r="Q74" s="58"/>
      <c r="R74" s="58"/>
      <c r="S74" s="58"/>
    </row>
    <row r="75" spans="1:19" s="32" customFormat="1" ht="36.75" customHeight="1" x14ac:dyDescent="0.2">
      <c r="A75" s="33" t="s">
        <v>60</v>
      </c>
      <c r="B75" s="12" t="s">
        <v>31</v>
      </c>
      <c r="C75" s="49">
        <v>1</v>
      </c>
      <c r="D75" s="50">
        <v>4000</v>
      </c>
      <c r="E75" s="113">
        <f>SUM(I75)</f>
        <v>14328</v>
      </c>
      <c r="F75" s="113">
        <f>SUM(D75+D76)-(E75)</f>
        <v>-428</v>
      </c>
      <c r="G75" s="108">
        <f>SUM(E75)/13900</f>
        <v>1.0307913669064748</v>
      </c>
      <c r="H75" s="35">
        <v>4000</v>
      </c>
      <c r="I75" s="111">
        <f>15270+[1]TS!$J$49</f>
        <v>14328</v>
      </c>
      <c r="J75" s="108">
        <f>SUM(I75/13900)</f>
        <v>1.0307913669064748</v>
      </c>
      <c r="K75" s="38"/>
      <c r="L75" s="48"/>
      <c r="M75" s="39"/>
      <c r="N75" s="38"/>
      <c r="O75" s="48"/>
      <c r="P75" s="38"/>
      <c r="Q75" s="58"/>
      <c r="R75" s="58"/>
      <c r="S75" s="58"/>
    </row>
    <row r="76" spans="1:19" s="32" customFormat="1" ht="36.75" customHeight="1" x14ac:dyDescent="0.2">
      <c r="A76" s="33" t="s">
        <v>60</v>
      </c>
      <c r="B76" s="12" t="s">
        <v>31</v>
      </c>
      <c r="C76" s="49">
        <v>2</v>
      </c>
      <c r="D76" s="50">
        <v>9900</v>
      </c>
      <c r="E76" s="109"/>
      <c r="F76" s="109"/>
      <c r="G76" s="109"/>
      <c r="H76" s="35">
        <v>9900</v>
      </c>
      <c r="I76" s="112"/>
      <c r="J76" s="109"/>
      <c r="K76" s="38"/>
      <c r="L76" s="48"/>
      <c r="M76" s="39"/>
      <c r="N76" s="38"/>
      <c r="O76" s="48"/>
      <c r="P76" s="38"/>
      <c r="Q76" s="58"/>
      <c r="R76" s="58"/>
      <c r="S76" s="58"/>
    </row>
    <row r="77" spans="1:19" s="32" customFormat="1" ht="36.75" customHeight="1" x14ac:dyDescent="0.2">
      <c r="A77" s="33" t="s">
        <v>60</v>
      </c>
      <c r="B77" s="12" t="s">
        <v>31</v>
      </c>
      <c r="C77" s="49">
        <v>3</v>
      </c>
      <c r="D77" s="50">
        <v>30000</v>
      </c>
      <c r="E77" s="35">
        <f t="shared" ref="E77:E87" si="36">SUM(I77+L77+O77)</f>
        <v>0</v>
      </c>
      <c r="F77" s="35">
        <f t="shared" ref="F77:F87" si="37">SUM(D77-E77)</f>
        <v>30000</v>
      </c>
      <c r="G77" s="42">
        <f t="shared" ref="G77:G85" si="38">SUM(E77/D77)</f>
        <v>0</v>
      </c>
      <c r="H77" s="44"/>
      <c r="I77" s="45"/>
      <c r="J77" s="46"/>
      <c r="K77" s="40">
        <v>30000</v>
      </c>
      <c r="L77" s="41">
        <v>0</v>
      </c>
      <c r="M77" s="42">
        <f>SUM(L77/K77)</f>
        <v>0</v>
      </c>
      <c r="N77" s="38"/>
      <c r="O77" s="48"/>
      <c r="P77" s="38"/>
      <c r="Q77" s="58"/>
      <c r="R77" s="58"/>
      <c r="S77" s="58"/>
    </row>
    <row r="78" spans="1:19" s="32" customFormat="1" ht="36.75" customHeight="1" x14ac:dyDescent="0.2">
      <c r="A78" s="33" t="s">
        <v>61</v>
      </c>
      <c r="B78" s="12" t="s">
        <v>46</v>
      </c>
      <c r="C78" s="49">
        <v>1</v>
      </c>
      <c r="D78" s="50">
        <v>27900</v>
      </c>
      <c r="E78" s="35">
        <f t="shared" si="36"/>
        <v>29853</v>
      </c>
      <c r="F78" s="35">
        <f t="shared" si="37"/>
        <v>-1953</v>
      </c>
      <c r="G78" s="42">
        <f t="shared" si="38"/>
        <v>1.07</v>
      </c>
      <c r="H78" s="44"/>
      <c r="I78" s="45"/>
      <c r="J78" s="46"/>
      <c r="K78" s="38"/>
      <c r="L78" s="48"/>
      <c r="M78" s="39"/>
      <c r="N78" s="49">
        <v>27900</v>
      </c>
      <c r="O78" s="41">
        <v>29853</v>
      </c>
      <c r="P78" s="42">
        <f>SUM(O78/N78)</f>
        <v>1.07</v>
      </c>
      <c r="Q78" s="58"/>
      <c r="R78" s="58"/>
      <c r="S78" s="58"/>
    </row>
    <row r="79" spans="1:19" s="32" customFormat="1" ht="36.75" customHeight="1" x14ac:dyDescent="0.2">
      <c r="A79" s="33" t="s">
        <v>61</v>
      </c>
      <c r="B79" s="12" t="s">
        <v>42</v>
      </c>
      <c r="C79" s="49">
        <v>1</v>
      </c>
      <c r="D79" s="50">
        <v>100000</v>
      </c>
      <c r="E79" s="35">
        <f t="shared" si="36"/>
        <v>85721</v>
      </c>
      <c r="F79" s="35">
        <f t="shared" si="37"/>
        <v>14279</v>
      </c>
      <c r="G79" s="42">
        <f t="shared" si="38"/>
        <v>0.85721000000000003</v>
      </c>
      <c r="H79" s="44"/>
      <c r="I79" s="45"/>
      <c r="J79" s="46"/>
      <c r="K79" s="49">
        <v>100000</v>
      </c>
      <c r="L79" s="59">
        <v>85721</v>
      </c>
      <c r="M79" s="42">
        <f>SUM(L79/K79)</f>
        <v>0.85721000000000003</v>
      </c>
      <c r="N79" s="38"/>
      <c r="O79" s="48"/>
      <c r="P79" s="38"/>
      <c r="Q79" s="58"/>
      <c r="R79" s="58"/>
      <c r="S79" s="58"/>
    </row>
    <row r="80" spans="1:19" s="32" customFormat="1" ht="36.75" customHeight="1" x14ac:dyDescent="0.2">
      <c r="A80" s="33" t="s">
        <v>61</v>
      </c>
      <c r="B80" s="12" t="s">
        <v>42</v>
      </c>
      <c r="C80" s="49">
        <v>2</v>
      </c>
      <c r="D80" s="50">
        <v>65000</v>
      </c>
      <c r="E80" s="35">
        <f t="shared" si="36"/>
        <v>19079</v>
      </c>
      <c r="F80" s="35">
        <f t="shared" si="37"/>
        <v>45921</v>
      </c>
      <c r="G80" s="42">
        <f t="shared" si="38"/>
        <v>0.29352307692307694</v>
      </c>
      <c r="H80" s="44"/>
      <c r="I80" s="45"/>
      <c r="J80" s="46"/>
      <c r="K80" s="40">
        <v>65000</v>
      </c>
      <c r="L80" s="41">
        <v>19079</v>
      </c>
      <c r="M80" s="42">
        <f>SUM(L80/K80)</f>
        <v>0.29352307692307694</v>
      </c>
      <c r="N80" s="38"/>
      <c r="O80" s="48"/>
      <c r="P80" s="38"/>
      <c r="Q80" s="58"/>
      <c r="R80" s="58"/>
      <c r="S80" s="58"/>
    </row>
    <row r="81" spans="1:19" s="32" customFormat="1" ht="36.75" customHeight="1" x14ac:dyDescent="0.2">
      <c r="M81" s="60"/>
      <c r="Q81" s="58"/>
      <c r="R81" s="58"/>
      <c r="S81" s="58"/>
    </row>
    <row r="82" spans="1:19" s="32" customFormat="1" ht="36.75" customHeight="1" x14ac:dyDescent="0.2">
      <c r="A82" s="33" t="s">
        <v>60</v>
      </c>
      <c r="B82" s="12" t="s">
        <v>80</v>
      </c>
      <c r="C82" s="49">
        <v>1</v>
      </c>
      <c r="D82" s="50">
        <v>79500</v>
      </c>
      <c r="E82" s="35">
        <f t="shared" si="36"/>
        <v>21651.296249999999</v>
      </c>
      <c r="F82" s="35">
        <f t="shared" si="37"/>
        <v>57848.703750000001</v>
      </c>
      <c r="G82" s="42">
        <f t="shared" ref="G82" si="39">SUM(E82/D82)</f>
        <v>0.27234334905660379</v>
      </c>
      <c r="H82" s="50">
        <v>79500</v>
      </c>
      <c r="I82" s="37">
        <f>[1]TS!$J$50</f>
        <v>21651.296249999999</v>
      </c>
      <c r="J82" s="36">
        <f>SUM(I82/H82)</f>
        <v>0.27234334905660379</v>
      </c>
      <c r="K82" s="38"/>
      <c r="L82" s="48"/>
      <c r="M82" s="39"/>
      <c r="N82" s="38"/>
      <c r="O82" s="48"/>
      <c r="P82" s="38"/>
      <c r="Q82" s="58"/>
      <c r="R82" s="58"/>
      <c r="S82" s="58"/>
    </row>
    <row r="83" spans="1:19" s="32" customFormat="1" ht="36.75" customHeight="1" x14ac:dyDescent="0.2">
      <c r="A83" s="33" t="s">
        <v>60</v>
      </c>
      <c r="B83" s="12" t="s">
        <v>32</v>
      </c>
      <c r="C83" s="49">
        <v>1</v>
      </c>
      <c r="D83" s="50">
        <v>75000</v>
      </c>
      <c r="E83" s="35">
        <f t="shared" si="36"/>
        <v>0</v>
      </c>
      <c r="F83" s="35">
        <f t="shared" si="37"/>
        <v>75000</v>
      </c>
      <c r="G83" s="42">
        <f t="shared" si="38"/>
        <v>0</v>
      </c>
      <c r="H83" s="44"/>
      <c r="I83" s="45"/>
      <c r="J83" s="46"/>
      <c r="K83" s="38"/>
      <c r="L83" s="48"/>
      <c r="M83" s="39"/>
      <c r="N83" s="49">
        <v>75000</v>
      </c>
      <c r="O83" s="59">
        <v>0</v>
      </c>
      <c r="P83" s="42">
        <f>SUM(O83/N83)</f>
        <v>0</v>
      </c>
      <c r="Q83" s="58"/>
      <c r="R83" s="58"/>
      <c r="S83" s="58"/>
    </row>
    <row r="84" spans="1:19" s="32" customFormat="1" ht="36.75" customHeight="1" x14ac:dyDescent="0.2">
      <c r="A84" s="33" t="s">
        <v>61</v>
      </c>
      <c r="B84" s="12" t="s">
        <v>43</v>
      </c>
      <c r="C84" s="49">
        <v>1</v>
      </c>
      <c r="D84" s="50">
        <v>116000</v>
      </c>
      <c r="E84" s="35">
        <f t="shared" si="36"/>
        <v>116000</v>
      </c>
      <c r="F84" s="35">
        <f t="shared" si="37"/>
        <v>0</v>
      </c>
      <c r="G84" s="42">
        <f t="shared" si="38"/>
        <v>1</v>
      </c>
      <c r="H84" s="44"/>
      <c r="I84" s="45"/>
      <c r="J84" s="46"/>
      <c r="K84" s="40">
        <v>116000</v>
      </c>
      <c r="L84" s="41">
        <v>116000</v>
      </c>
      <c r="M84" s="42">
        <f>SUM(L84/K84)</f>
        <v>1</v>
      </c>
      <c r="N84" s="38"/>
      <c r="O84" s="48"/>
      <c r="P84" s="38"/>
      <c r="Q84" s="58"/>
      <c r="R84" s="58"/>
      <c r="S84" s="58"/>
    </row>
    <row r="85" spans="1:19" s="32" customFormat="1" ht="36.75" customHeight="1" x14ac:dyDescent="0.2">
      <c r="A85" s="33" t="s">
        <v>60</v>
      </c>
      <c r="B85" s="14" t="s">
        <v>33</v>
      </c>
      <c r="C85" s="61">
        <v>1</v>
      </c>
      <c r="D85" s="62">
        <v>40000</v>
      </c>
      <c r="E85" s="63">
        <f t="shared" si="36"/>
        <v>26248.946249999997</v>
      </c>
      <c r="F85" s="63">
        <f t="shared" si="37"/>
        <v>13751.053750000003</v>
      </c>
      <c r="G85" s="64">
        <f t="shared" si="38"/>
        <v>0.6562236562499999</v>
      </c>
      <c r="H85" s="63">
        <v>40000</v>
      </c>
      <c r="I85" s="65">
        <f>[1]TS!$J$51</f>
        <v>26248.946249999997</v>
      </c>
      <c r="J85" s="66">
        <f>SUM(I85/H85)</f>
        <v>0.6562236562499999</v>
      </c>
      <c r="K85" s="67"/>
      <c r="L85" s="68"/>
      <c r="M85" s="69"/>
      <c r="N85" s="67"/>
      <c r="O85" s="68"/>
      <c r="P85" s="67"/>
      <c r="Q85" s="58"/>
      <c r="R85" s="58"/>
      <c r="S85" s="58"/>
    </row>
    <row r="86" spans="1:19" s="32" customFormat="1" ht="36.75" customHeight="1" x14ac:dyDescent="0.2">
      <c r="A86" s="33" t="s">
        <v>60</v>
      </c>
      <c r="B86" s="14" t="s">
        <v>33</v>
      </c>
      <c r="C86" s="61">
        <v>2</v>
      </c>
      <c r="D86" s="62">
        <v>456826</v>
      </c>
      <c r="E86" s="63"/>
      <c r="F86" s="63"/>
      <c r="G86" s="64">
        <f t="shared" ref="G86" si="40">SUM(E86/D86)</f>
        <v>0</v>
      </c>
      <c r="H86" s="62" t="s">
        <v>65</v>
      </c>
      <c r="I86" s="70"/>
      <c r="J86" s="64"/>
      <c r="K86" s="62" t="s">
        <v>65</v>
      </c>
      <c r="L86" s="71"/>
      <c r="M86" s="64"/>
      <c r="N86" s="62" t="s">
        <v>65</v>
      </c>
      <c r="O86" s="71"/>
      <c r="P86" s="72"/>
      <c r="Q86" s="58"/>
      <c r="R86" s="58"/>
      <c r="S86" s="58"/>
    </row>
    <row r="87" spans="1:19" s="85" customFormat="1" ht="36.75" customHeight="1" x14ac:dyDescent="0.2">
      <c r="A87" s="15" t="s">
        <v>54</v>
      </c>
      <c r="B87" s="15"/>
      <c r="C87" s="15"/>
      <c r="D87" s="73">
        <f>SUM(D4:D85)</f>
        <v>15542291</v>
      </c>
      <c r="E87" s="74">
        <f t="shared" si="36"/>
        <v>6705243.19625</v>
      </c>
      <c r="F87" s="74">
        <f t="shared" si="37"/>
        <v>8837047.8037500009</v>
      </c>
      <c r="G87" s="75">
        <f>SUM(E87/D87)</f>
        <v>0.43141922875141125</v>
      </c>
      <c r="H87" s="76">
        <f>SUM(H4:H85)</f>
        <v>6616773</v>
      </c>
      <c r="I87" s="77">
        <f>SUM(I4:I85)</f>
        <v>3015820.1262500002</v>
      </c>
      <c r="J87" s="78">
        <f>SUM(I87/H87)</f>
        <v>0.45578413015680003</v>
      </c>
      <c r="K87" s="79">
        <f>SUM(K4:K85)</f>
        <v>6053771</v>
      </c>
      <c r="L87" s="80">
        <f>SUM(L4:L85)</f>
        <v>2255002.4500000002</v>
      </c>
      <c r="M87" s="81">
        <f>SUM(L87/K87)</f>
        <v>0.37249549908643725</v>
      </c>
      <c r="N87" s="82">
        <f>SUM(N4:N85)</f>
        <v>2871747</v>
      </c>
      <c r="O87" s="83">
        <f>SUM(O4:O85)</f>
        <v>1434420.62</v>
      </c>
      <c r="P87" s="84">
        <f>SUM(O87/N87)</f>
        <v>0.49949407799503232</v>
      </c>
      <c r="Q87" s="49"/>
      <c r="R87" s="49"/>
      <c r="S87" s="49"/>
    </row>
    <row r="88" spans="1:19" s="17" customFormat="1" ht="36.75" customHeight="1" x14ac:dyDescent="0.2">
      <c r="D88" s="86"/>
      <c r="E88" s="87"/>
      <c r="F88" s="87"/>
      <c r="G88" s="88"/>
      <c r="H88" s="87"/>
      <c r="I88" s="87"/>
      <c r="J88" s="88"/>
      <c r="K88" s="87"/>
      <c r="L88" s="87"/>
      <c r="M88" s="88"/>
      <c r="N88" s="87"/>
      <c r="O88" s="87"/>
      <c r="P88" s="88"/>
    </row>
    <row r="89" spans="1:19" s="32" customFormat="1" ht="36.75" customHeight="1" x14ac:dyDescent="0.2">
      <c r="A89" s="15" t="s">
        <v>58</v>
      </c>
      <c r="B89" s="8" t="s">
        <v>49</v>
      </c>
      <c r="C89" s="8" t="s">
        <v>0</v>
      </c>
      <c r="D89" s="8" t="s">
        <v>1</v>
      </c>
      <c r="E89" s="8" t="s">
        <v>2</v>
      </c>
      <c r="F89" s="8" t="s">
        <v>3</v>
      </c>
      <c r="G89" s="8" t="s">
        <v>4</v>
      </c>
      <c r="H89" s="9" t="s">
        <v>5</v>
      </c>
      <c r="I89" s="9" t="s">
        <v>84</v>
      </c>
      <c r="J89" s="9" t="s">
        <v>56</v>
      </c>
      <c r="K89" s="10" t="s">
        <v>5</v>
      </c>
      <c r="L89" s="9" t="s">
        <v>62</v>
      </c>
      <c r="M89" s="31" t="s">
        <v>56</v>
      </c>
      <c r="N89" s="11" t="s">
        <v>5</v>
      </c>
      <c r="O89" s="9" t="s">
        <v>62</v>
      </c>
      <c r="P89" s="11" t="s">
        <v>57</v>
      </c>
      <c r="Q89" s="58"/>
      <c r="R89" s="58"/>
      <c r="S89" s="58"/>
    </row>
    <row r="90" spans="1:19" s="32" customFormat="1" ht="36.75" customHeight="1" x14ac:dyDescent="0.2">
      <c r="A90" s="43"/>
      <c r="B90" s="106" t="s">
        <v>44</v>
      </c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58"/>
      <c r="R90" s="58"/>
      <c r="S90" s="58"/>
    </row>
    <row r="91" spans="1:19" s="32" customFormat="1" ht="36.75" customHeight="1" x14ac:dyDescent="0.2">
      <c r="A91" s="33" t="s">
        <v>60</v>
      </c>
      <c r="B91" s="12" t="s">
        <v>59</v>
      </c>
      <c r="C91" s="43">
        <v>1</v>
      </c>
      <c r="D91" s="35">
        <v>1415000</v>
      </c>
      <c r="E91" s="35">
        <v>991277</v>
      </c>
      <c r="F91" s="35">
        <f>SUM(D91-E91)</f>
        <v>423723</v>
      </c>
      <c r="G91" s="36">
        <f>SUM(E91/D91)</f>
        <v>0.70054911660777386</v>
      </c>
      <c r="H91" s="89">
        <v>1415000</v>
      </c>
      <c r="I91" s="90">
        <f>991277+[1]TS!$J$43</f>
        <v>1233740.7662500001</v>
      </c>
      <c r="J91" s="91">
        <f>SUM(I91/H91)</f>
        <v>0.8719016015901061</v>
      </c>
      <c r="K91" s="92"/>
      <c r="L91" s="92"/>
      <c r="M91" s="93"/>
      <c r="N91" s="38"/>
      <c r="O91" s="38"/>
      <c r="P91" s="38"/>
    </row>
    <row r="92" spans="1:19" s="32" customFormat="1" ht="36.75" customHeight="1" x14ac:dyDescent="0.2">
      <c r="A92" s="94">
        <v>1</v>
      </c>
      <c r="B92" s="100" t="s">
        <v>47</v>
      </c>
      <c r="C92" s="95">
        <v>1</v>
      </c>
      <c r="D92" s="63">
        <v>162000</v>
      </c>
      <c r="E92" s="35">
        <f>SUM(I92+L92+O92)</f>
        <v>0</v>
      </c>
      <c r="F92" s="35">
        <f>SUM(D92-E92)</f>
        <v>162000</v>
      </c>
      <c r="G92" s="64">
        <f t="shared" ref="G92:G93" si="41">SUM(E92/D92)</f>
        <v>0</v>
      </c>
      <c r="H92" s="96">
        <v>162000</v>
      </c>
      <c r="I92" s="97"/>
      <c r="J92" s="91">
        <f>SUM(I92/H92)</f>
        <v>0</v>
      </c>
      <c r="K92" s="98"/>
      <c r="L92" s="98"/>
      <c r="M92" s="99"/>
      <c r="N92" s="67"/>
      <c r="O92" s="67"/>
      <c r="P92" s="67"/>
    </row>
    <row r="93" spans="1:19" s="32" customFormat="1" ht="36.75" customHeight="1" x14ac:dyDescent="0.2">
      <c r="A93" s="33" t="s">
        <v>60</v>
      </c>
      <c r="B93" s="101" t="s">
        <v>81</v>
      </c>
      <c r="C93" s="49">
        <v>1</v>
      </c>
      <c r="D93" s="35">
        <v>150000</v>
      </c>
      <c r="E93" s="35">
        <f>SUM(I93+L93+O93)</f>
        <v>39980.892500000002</v>
      </c>
      <c r="F93" s="35">
        <f>SUM(D93-E93)</f>
        <v>110019.1075</v>
      </c>
      <c r="G93" s="42">
        <f t="shared" si="41"/>
        <v>0.26653928333333332</v>
      </c>
      <c r="H93" s="89">
        <v>150000</v>
      </c>
      <c r="I93" s="89">
        <f>[1]TS!$J$44+[1]TS!$J$32</f>
        <v>39980.892500000002</v>
      </c>
      <c r="J93" s="91">
        <f>SUM(I93/H93)</f>
        <v>0.26653928333333332</v>
      </c>
      <c r="K93" s="92"/>
      <c r="L93" s="92"/>
      <c r="M93" s="93"/>
      <c r="N93" s="38"/>
      <c r="O93" s="38"/>
      <c r="P93" s="38"/>
    </row>
    <row r="94" spans="1:19" s="32" customFormat="1" ht="36.75" customHeight="1" x14ac:dyDescent="0.2">
      <c r="A94" s="43" t="s">
        <v>55</v>
      </c>
      <c r="B94" s="18"/>
      <c r="C94" s="49"/>
      <c r="D94" s="50">
        <f>SUM(D91:D93)</f>
        <v>1727000</v>
      </c>
      <c r="E94" s="35">
        <f>SUM(E91:E93)</f>
        <v>1031257.8925</v>
      </c>
      <c r="F94" s="35">
        <f>SUM(F91:F93)</f>
        <v>695742.10750000004</v>
      </c>
      <c r="G94" s="42">
        <f>SUM(E94/D94)</f>
        <v>0.59713832802547773</v>
      </c>
      <c r="H94" s="50">
        <f>SUM(H91:H93)</f>
        <v>1727000</v>
      </c>
      <c r="I94" s="50">
        <f>SUM(I91:I93)</f>
        <v>1273721.6587500002</v>
      </c>
      <c r="J94" s="91">
        <f>SUM(I94/H94)</f>
        <v>0.7375342552113493</v>
      </c>
      <c r="K94" s="50">
        <f t="shared" ref="K94:P94" si="42">SUM(K91:K93)</f>
        <v>0</v>
      </c>
      <c r="L94" s="50">
        <f t="shared" si="42"/>
        <v>0</v>
      </c>
      <c r="M94" s="42">
        <f t="shared" si="42"/>
        <v>0</v>
      </c>
      <c r="N94" s="50">
        <f t="shared" si="42"/>
        <v>0</v>
      </c>
      <c r="O94" s="50">
        <f t="shared" si="42"/>
        <v>0</v>
      </c>
      <c r="P94" s="50">
        <f t="shared" si="42"/>
        <v>0</v>
      </c>
    </row>
    <row r="95" spans="1:19" ht="36.75" customHeight="1" x14ac:dyDescent="0.2">
      <c r="B95" s="16"/>
      <c r="D95" s="19"/>
      <c r="E95" s="19"/>
      <c r="F95" s="19"/>
      <c r="G95" s="19"/>
      <c r="H95" s="5"/>
      <c r="I95" s="5"/>
      <c r="J95" s="5"/>
      <c r="K95" s="20"/>
      <c r="L95" s="20"/>
      <c r="M95" s="21"/>
      <c r="Q95" s="6"/>
      <c r="R95" s="6"/>
      <c r="S95" s="6"/>
    </row>
    <row r="96" spans="1:19" ht="36.75" customHeight="1" x14ac:dyDescent="0.2">
      <c r="G96" s="13"/>
      <c r="H96" s="3"/>
      <c r="K96" s="22"/>
      <c r="L96" s="22"/>
      <c r="M96" s="23"/>
      <c r="Q96" s="6"/>
      <c r="R96" s="6"/>
      <c r="S96" s="6"/>
    </row>
    <row r="97" spans="4:19" ht="36.75" customHeight="1" x14ac:dyDescent="0.2">
      <c r="D97" s="19"/>
      <c r="G97" s="13"/>
      <c r="H97" s="3"/>
      <c r="K97" s="24"/>
      <c r="L97" s="25"/>
      <c r="M97" s="26"/>
      <c r="Q97" s="6"/>
      <c r="R97" s="6"/>
      <c r="S97" s="6"/>
    </row>
    <row r="98" spans="4:19" ht="36.75" customHeight="1" x14ac:dyDescent="0.2">
      <c r="G98" s="13"/>
      <c r="H98" s="3"/>
      <c r="K98" s="24"/>
      <c r="L98" s="25"/>
      <c r="M98" s="26"/>
      <c r="Q98" s="6"/>
      <c r="R98" s="6"/>
      <c r="S98" s="6"/>
    </row>
    <row r="99" spans="4:19" ht="36.75" customHeight="1" x14ac:dyDescent="0.2">
      <c r="G99" s="13"/>
      <c r="H99" s="3"/>
      <c r="K99" s="22"/>
      <c r="L99" s="27"/>
      <c r="M99" s="28"/>
      <c r="Q99" s="6"/>
      <c r="R99" s="6"/>
      <c r="S99" s="6"/>
    </row>
    <row r="100" spans="4:19" ht="36.75" customHeight="1" x14ac:dyDescent="0.2">
      <c r="G100" s="13"/>
      <c r="H100" s="2"/>
      <c r="K100" s="24"/>
      <c r="L100" s="25"/>
      <c r="M100" s="26"/>
      <c r="Q100" s="6"/>
      <c r="R100" s="6"/>
      <c r="S100" s="6"/>
    </row>
    <row r="101" spans="4:19" ht="36.75" customHeight="1" x14ac:dyDescent="0.2">
      <c r="G101" s="13"/>
      <c r="H101" s="3"/>
      <c r="I101" s="3"/>
      <c r="J101" s="3"/>
      <c r="K101" s="24"/>
      <c r="L101" s="24"/>
      <c r="Q101" s="6"/>
      <c r="R101" s="6"/>
      <c r="S101" s="6"/>
    </row>
    <row r="102" spans="4:19" ht="36.75" customHeight="1" x14ac:dyDescent="0.2">
      <c r="G102" s="13"/>
      <c r="H102" s="2"/>
      <c r="I102" s="2"/>
      <c r="J102" s="2"/>
      <c r="Q102" s="6"/>
      <c r="R102" s="6"/>
      <c r="S102" s="6"/>
    </row>
    <row r="103" spans="4:19" ht="36.75" customHeight="1" x14ac:dyDescent="0.2">
      <c r="D103" s="1"/>
      <c r="E103" s="1"/>
      <c r="G103" s="13"/>
      <c r="H103" s="4"/>
      <c r="I103" s="4"/>
      <c r="J103" s="4"/>
      <c r="K103" s="24"/>
      <c r="Q103" s="6"/>
      <c r="R103" s="6"/>
      <c r="S103" s="6"/>
    </row>
    <row r="104" spans="4:19" ht="36.75" customHeight="1" x14ac:dyDescent="0.2"/>
    <row r="105" spans="4:19" ht="36.75" customHeight="1" x14ac:dyDescent="0.2"/>
    <row r="106" spans="4:19" ht="36.75" customHeight="1" x14ac:dyDescent="0.2"/>
    <row r="107" spans="4:19" ht="36.75" customHeight="1" x14ac:dyDescent="0.2"/>
    <row r="108" spans="4:19" ht="36.75" customHeight="1" x14ac:dyDescent="0.2"/>
    <row r="109" spans="4:19" ht="36.75" customHeight="1" x14ac:dyDescent="0.2"/>
    <row r="110" spans="4:19" ht="36.75" customHeight="1" x14ac:dyDescent="0.2"/>
    <row r="111" spans="4:19" ht="36.75" customHeight="1" x14ac:dyDescent="0.2"/>
    <row r="112" spans="4:19" ht="36.75" customHeight="1" x14ac:dyDescent="0.2"/>
    <row r="113" ht="36.75" customHeight="1" x14ac:dyDescent="0.2"/>
    <row r="114" ht="36.75" customHeight="1" x14ac:dyDescent="0.2"/>
    <row r="115" ht="36.75" customHeight="1" x14ac:dyDescent="0.2"/>
  </sheetData>
  <sortState ref="A3:Q87">
    <sortCondition ref="B3:B87"/>
  </sortState>
  <mergeCells count="17">
    <mergeCell ref="K2:M2"/>
    <mergeCell ref="H2:J2"/>
    <mergeCell ref="A1:M1"/>
    <mergeCell ref="N2:P2"/>
    <mergeCell ref="B90:P90"/>
    <mergeCell ref="G75:G76"/>
    <mergeCell ref="E6:E7"/>
    <mergeCell ref="F6:F7"/>
    <mergeCell ref="I75:I76"/>
    <mergeCell ref="E75:E76"/>
    <mergeCell ref="F75:F76"/>
    <mergeCell ref="G6:G7"/>
    <mergeCell ref="I6:I7"/>
    <mergeCell ref="D2:G2"/>
    <mergeCell ref="A2:C2"/>
    <mergeCell ref="J75:J76"/>
    <mergeCell ref="J6:J7"/>
  </mergeCells>
  <dataValidations count="1">
    <dataValidation type="list" allowBlank="1" showInputMessage="1" showErrorMessage="1" sqref="A93 A91 A4:A80 A82:A86">
      <formula1>"Ongoing, Completed"</formula1>
    </dataValidation>
  </dataValidations>
  <pageMargins left="0.7" right="0.7" top="0.75" bottom="0.75" header="0.3" footer="0.3"/>
  <pageSetup paperSize="9" scale="86" fitToHeight="0" orientation="landscape" r:id="rId1"/>
  <rowBreaks count="1" manualBreakCount="1">
    <brk id="88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 expenditure</vt:lpstr>
    </vt:vector>
  </TitlesOfParts>
  <Company>UNREDD Secretariat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ERIKSSON</dc:creator>
  <cp:lastModifiedBy>Helena ERIKSSON</cp:lastModifiedBy>
  <cp:lastPrinted>2015-09-29T11:44:14Z</cp:lastPrinted>
  <dcterms:created xsi:type="dcterms:W3CDTF">2015-04-07T09:12:29Z</dcterms:created>
  <dcterms:modified xsi:type="dcterms:W3CDTF">2016-01-07T14:58:57Z</dcterms:modified>
</cp:coreProperties>
</file>