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785" windowWidth="12615" windowHeight="6960" firstSheet="1" activeTab="2"/>
  </bookViews>
  <sheets>
    <sheet name="UNEP unrecorded commitmts" sheetId="23" r:id="rId1"/>
    <sheet name="Guidelines for completion" sheetId="37" r:id="rId2"/>
    <sheet name="Consl Fin Report 31 Dec 2015" sheetId="36" r:id="rId3"/>
    <sheet name="Sheet3" sheetId="30" state="hidden" r:id="rId4"/>
    <sheet name="Sheet4 (2)" sheetId="35" state="hidden" r:id="rId5"/>
    <sheet name="Sheet1 (3)" sheetId="33" state="hidden" r:id="rId6"/>
    <sheet name="Sheet1 (4)" sheetId="34" state="hidden" r:id="rId7"/>
    <sheet name="Prog &amp; fin commitment List" sheetId="38" r:id="rId8"/>
  </sheets>
  <externalReferences>
    <externalReference r:id="rId9"/>
    <externalReference r:id="rId10"/>
    <externalReference r:id="rId11"/>
    <externalReference r:id="rId12"/>
    <externalReference r:id="rId13"/>
    <externalReference r:id="rId14"/>
    <externalReference r:id="rId15"/>
  </externalReferences>
  <definedNames>
    <definedName name="Output1" localSheetId="2">#REF!</definedName>
    <definedName name="Output1" localSheetId="4">#REF!</definedName>
    <definedName name="Output1">#REF!</definedName>
    <definedName name="Output1_2" localSheetId="2">#REF!</definedName>
    <definedName name="Output1_2" localSheetId="4">#REF!</definedName>
    <definedName name="Output1_2">#REF!</definedName>
    <definedName name="Output2" localSheetId="2">#REF!</definedName>
    <definedName name="Output2" localSheetId="4">#REF!</definedName>
    <definedName name="Output2">#REF!</definedName>
    <definedName name="Output2_2" localSheetId="2">#REF!</definedName>
    <definedName name="Output2_2" localSheetId="4">#REF!</definedName>
    <definedName name="Output2_2">#REF!</definedName>
    <definedName name="Output3" localSheetId="2">#REF!</definedName>
    <definedName name="Output3" localSheetId="4">#REF!</definedName>
    <definedName name="Output3">#REF!</definedName>
    <definedName name="Output3_2" localSheetId="2">#REF!</definedName>
    <definedName name="Output3_2" localSheetId="4">#REF!</definedName>
    <definedName name="Output3_2">#REF!</definedName>
    <definedName name="Output4" localSheetId="2">#REF!</definedName>
    <definedName name="Output4" localSheetId="4">#REF!</definedName>
    <definedName name="Output4">#REF!</definedName>
    <definedName name="Output4_2" localSheetId="2">#REF!</definedName>
    <definedName name="Output4_2" localSheetId="4">#REF!</definedName>
    <definedName name="Output4_2">#REF!</definedName>
    <definedName name="Output5" localSheetId="2">#REF!</definedName>
    <definedName name="Output5" localSheetId="4">#REF!</definedName>
    <definedName name="Output5">#REF!</definedName>
    <definedName name="Output5_2" localSheetId="2">#REF!</definedName>
    <definedName name="Output5_2" localSheetId="4">#REF!</definedName>
    <definedName name="Output5_2">#REF!</definedName>
    <definedName name="Output6" localSheetId="2">#REF!</definedName>
    <definedName name="Output6" localSheetId="4">#REF!</definedName>
    <definedName name="Output6">#REF!</definedName>
    <definedName name="Output6_2" localSheetId="2">#REF!</definedName>
    <definedName name="Output6_2" localSheetId="4">#REF!</definedName>
    <definedName name="Output6_2">#REF!</definedName>
    <definedName name="Output7" localSheetId="2">#REF!</definedName>
    <definedName name="Output7" localSheetId="4">#REF!</definedName>
    <definedName name="Output7">#REF!</definedName>
    <definedName name="Output7_2" localSheetId="2">#REF!</definedName>
    <definedName name="Output7_2" localSheetId="4">#REF!</definedName>
    <definedName name="Output7_2">#REF!</definedName>
    <definedName name="Pcost" localSheetId="2">'[1]Budget and Expenditure Summary'!#REF!</definedName>
    <definedName name="Pcost" localSheetId="4">'[1]Budget and Expenditure Summary'!#REF!</definedName>
    <definedName name="Pcost">'[1]Budget and Expenditure Summary'!#REF!</definedName>
    <definedName name="_xlnm.Print_Area" localSheetId="2">'Consl Fin Report 31 Dec 2015'!$A$1:$Q$94</definedName>
    <definedName name="_xlnm.Print_Titles" localSheetId="2">'Consl Fin Report 31 Dec 2015'!$6:$12</definedName>
    <definedName name="SupportCostFactor" localSheetId="2">#REF!</definedName>
    <definedName name="SupportCostFactor" localSheetId="4">#REF!</definedName>
    <definedName name="SupportCostFactor">#REF!</definedName>
    <definedName name="total2009">'[2]GP1 data'!$F$10</definedName>
    <definedName name="travel">[3]Sheet3!$1:$1048576</definedName>
    <definedName name="Year1" localSheetId="2">#REF!</definedName>
    <definedName name="Year1" localSheetId="4">#REF!</definedName>
    <definedName name="Year1">#REF!</definedName>
    <definedName name="Year1Rate" localSheetId="2">#REF!</definedName>
    <definedName name="Year1Rate" localSheetId="4">#REF!</definedName>
    <definedName name="Year1Rate">#REF!</definedName>
    <definedName name="Year2Rate" localSheetId="2">#REF!</definedName>
    <definedName name="Year2Rate" localSheetId="4">#REF!</definedName>
    <definedName name="Year2Rate">#REF!</definedName>
  </definedNames>
  <calcPr calcId="145621"/>
</workbook>
</file>

<file path=xl/calcChain.xml><?xml version="1.0" encoding="utf-8"?>
<calcChain xmlns="http://schemas.openxmlformats.org/spreadsheetml/2006/main">
  <c r="M94" i="36" l="1"/>
  <c r="M93" i="36"/>
  <c r="M92" i="36"/>
  <c r="M91" i="36"/>
  <c r="M95" i="36" s="1"/>
  <c r="N84" i="36"/>
  <c r="O84" i="36"/>
  <c r="P84" i="36"/>
  <c r="Q84" i="36"/>
  <c r="M84" i="36"/>
  <c r="N83" i="36"/>
  <c r="O83" i="36"/>
  <c r="P83" i="36"/>
  <c r="Q83" i="36"/>
  <c r="M83" i="36"/>
  <c r="P81" i="36"/>
  <c r="P82" i="36"/>
  <c r="P80" i="36"/>
  <c r="Q79" i="36"/>
  <c r="Q70" i="36"/>
  <c r="P64" i="36"/>
  <c r="P65" i="36"/>
  <c r="P66" i="36"/>
  <c r="P67" i="36"/>
  <c r="P68" i="36"/>
  <c r="P69" i="36"/>
  <c r="P70" i="36"/>
  <c r="P63" i="36"/>
  <c r="N70" i="36"/>
  <c r="M70" i="36"/>
  <c r="P57" i="36"/>
  <c r="P58" i="36"/>
  <c r="P59" i="36"/>
  <c r="P60" i="36"/>
  <c r="P61" i="36"/>
  <c r="P56" i="36"/>
  <c r="O61" i="36"/>
  <c r="N61" i="36"/>
  <c r="M61" i="36"/>
  <c r="P47" i="36"/>
  <c r="P48" i="36"/>
  <c r="P49" i="36"/>
  <c r="P50" i="36"/>
  <c r="P51" i="36"/>
  <c r="P52" i="36"/>
  <c r="P53" i="36"/>
  <c r="P46" i="36"/>
  <c r="P54" i="36" s="1"/>
  <c r="N54" i="36"/>
  <c r="O54" i="36"/>
  <c r="M54" i="36"/>
  <c r="P42" i="36"/>
  <c r="P43" i="36"/>
  <c r="N44" i="36"/>
  <c r="O44" i="36"/>
  <c r="P44" i="36"/>
  <c r="M44" i="36"/>
  <c r="P39" i="36"/>
  <c r="P40" i="36"/>
  <c r="P41" i="36"/>
  <c r="P38" i="36"/>
  <c r="P36" i="36"/>
  <c r="P35" i="36"/>
  <c r="O36" i="36"/>
  <c r="M36" i="36"/>
  <c r="P22" i="36"/>
  <c r="P23" i="36"/>
  <c r="P24" i="36"/>
  <c r="P25" i="36"/>
  <c r="P26" i="36"/>
  <c r="P27" i="36"/>
  <c r="P28" i="36"/>
  <c r="P29" i="36"/>
  <c r="P30" i="36"/>
  <c r="P31" i="36"/>
  <c r="P32" i="36"/>
  <c r="P21" i="36"/>
  <c r="O32" i="36"/>
  <c r="N32" i="36"/>
  <c r="M32" i="36"/>
  <c r="P18" i="36"/>
  <c r="P15" i="36"/>
  <c r="N17" i="36"/>
  <c r="P17" i="36" s="1"/>
  <c r="N16" i="36"/>
  <c r="P16" i="36" s="1"/>
  <c r="N15" i="36"/>
  <c r="O14" i="36"/>
  <c r="O19" i="36" s="1"/>
  <c r="N14" i="36"/>
  <c r="N19" i="36" s="1"/>
  <c r="M17" i="36"/>
  <c r="M16" i="36"/>
  <c r="M15" i="36"/>
  <c r="M14" i="36"/>
  <c r="M19" i="36" s="1"/>
  <c r="P14" i="36" l="1"/>
  <c r="P19" i="36" s="1"/>
  <c r="F83" i="36"/>
  <c r="J83" i="36"/>
  <c r="J81" i="36"/>
  <c r="J82" i="36"/>
  <c r="J80" i="36"/>
  <c r="J73" i="36"/>
  <c r="J74" i="36"/>
  <c r="J75" i="36"/>
  <c r="J76" i="36"/>
  <c r="J77" i="36"/>
  <c r="J78" i="36"/>
  <c r="J72" i="36"/>
  <c r="J64" i="36"/>
  <c r="J65" i="36"/>
  <c r="J66" i="36"/>
  <c r="J67" i="36"/>
  <c r="J68" i="36"/>
  <c r="J69" i="36"/>
  <c r="J63" i="36"/>
  <c r="J57" i="36"/>
  <c r="J58" i="36"/>
  <c r="J59" i="36"/>
  <c r="J60" i="36"/>
  <c r="J56" i="36"/>
  <c r="J47" i="36"/>
  <c r="J48" i="36"/>
  <c r="J49" i="36"/>
  <c r="J50" i="36"/>
  <c r="J51" i="36"/>
  <c r="J52" i="36"/>
  <c r="J53" i="36"/>
  <c r="J46" i="36"/>
  <c r="J39" i="36"/>
  <c r="J40" i="36"/>
  <c r="J41" i="36"/>
  <c r="J42" i="36"/>
  <c r="J43" i="36"/>
  <c r="J38" i="36"/>
  <c r="J35" i="36"/>
  <c r="J34" i="36"/>
  <c r="J22" i="36"/>
  <c r="J23" i="36"/>
  <c r="J24" i="36"/>
  <c r="J25" i="36"/>
  <c r="J26" i="36"/>
  <c r="J27" i="36"/>
  <c r="J28" i="36"/>
  <c r="J29" i="36"/>
  <c r="J30" i="36"/>
  <c r="J31" i="36"/>
  <c r="J21" i="36"/>
  <c r="J15" i="36"/>
  <c r="J16" i="36"/>
  <c r="J17" i="36"/>
  <c r="J18" i="36"/>
  <c r="J14" i="36"/>
  <c r="F80" i="36"/>
  <c r="F82" i="36"/>
  <c r="F81" i="36"/>
  <c r="F76" i="36"/>
  <c r="F75" i="36"/>
  <c r="F74" i="36"/>
  <c r="F73" i="36"/>
  <c r="F72" i="36"/>
  <c r="F68" i="36"/>
  <c r="F67" i="36"/>
  <c r="F66" i="36"/>
  <c r="F65" i="36"/>
  <c r="F64" i="36"/>
  <c r="F63" i="36"/>
  <c r="F60" i="36"/>
  <c r="F58" i="36"/>
  <c r="F57" i="36"/>
  <c r="F56" i="36"/>
  <c r="F53" i="36"/>
  <c r="F52" i="36"/>
  <c r="F50" i="36"/>
  <c r="F49" i="36"/>
  <c r="F48" i="36"/>
  <c r="F47" i="36"/>
  <c r="F46" i="36"/>
  <c r="F42" i="36"/>
  <c r="F41" i="36"/>
  <c r="F40" i="36"/>
  <c r="F39" i="36"/>
  <c r="F38" i="36"/>
  <c r="F35" i="36"/>
  <c r="F31" i="36"/>
  <c r="F30" i="36"/>
  <c r="F29" i="36"/>
  <c r="F28" i="36"/>
  <c r="F27" i="36"/>
  <c r="F25" i="36"/>
  <c r="F23" i="36"/>
  <c r="F22" i="36"/>
  <c r="F21" i="36"/>
  <c r="F17" i="36"/>
  <c r="F16" i="36"/>
  <c r="F15" i="36"/>
  <c r="F14" i="36"/>
  <c r="D68" i="36" l="1"/>
  <c r="D67" i="36"/>
  <c r="D65" i="36"/>
  <c r="D64" i="36"/>
  <c r="C14" i="36"/>
  <c r="E14" i="36" s="1"/>
  <c r="C15" i="36"/>
  <c r="C21" i="36"/>
  <c r="E21" i="36" s="1"/>
  <c r="C25" i="36"/>
  <c r="E25" i="36" s="1"/>
  <c r="C28" i="36"/>
  <c r="E28" i="36" s="1"/>
  <c r="C30" i="36"/>
  <c r="C48" i="36"/>
  <c r="E48" i="36" s="1"/>
  <c r="C63" i="36"/>
  <c r="E63" i="36" s="1"/>
  <c r="C66" i="36"/>
  <c r="E66" i="36" s="1"/>
  <c r="C16" i="36"/>
  <c r="E16" i="36" s="1"/>
  <c r="C22" i="36"/>
  <c r="C23" i="36"/>
  <c r="E23" i="36" s="1"/>
  <c r="C27" i="36"/>
  <c r="C29" i="36"/>
  <c r="E29" i="36" s="1"/>
  <c r="C31" i="36"/>
  <c r="C38" i="36"/>
  <c r="E38" i="36" s="1"/>
  <c r="C39" i="36"/>
  <c r="E39" i="36" s="1"/>
  <c r="C40" i="36"/>
  <c r="C41" i="36"/>
  <c r="C46" i="36"/>
  <c r="E46" i="36" s="1"/>
  <c r="C49" i="36"/>
  <c r="C52" i="36"/>
  <c r="C58" i="36"/>
  <c r="E58" i="36" s="1"/>
  <c r="C64" i="36"/>
  <c r="E64" i="36" s="1"/>
  <c r="C67" i="36"/>
  <c r="C42" i="36"/>
  <c r="E42" i="36" s="1"/>
  <c r="C47" i="36"/>
  <c r="C50" i="36"/>
  <c r="C53" i="36"/>
  <c r="C56" i="36"/>
  <c r="E56" i="36" s="1"/>
  <c r="C57" i="36"/>
  <c r="C60" i="36"/>
  <c r="C65" i="36"/>
  <c r="E65" i="36" s="1"/>
  <c r="C68" i="36"/>
  <c r="E68" i="36" s="1"/>
  <c r="G64" i="36"/>
  <c r="G81" i="36" s="1"/>
  <c r="H60" i="36"/>
  <c r="I60" i="36" s="1"/>
  <c r="H57" i="36"/>
  <c r="I57" i="36" s="1"/>
  <c r="H56" i="36"/>
  <c r="I56" i="36" s="1"/>
  <c r="H53" i="36"/>
  <c r="I53" i="36" s="1"/>
  <c r="H50" i="36"/>
  <c r="I50" i="36" s="1"/>
  <c r="H47" i="36"/>
  <c r="H42" i="36"/>
  <c r="I42" i="36" s="1"/>
  <c r="G65" i="36"/>
  <c r="I65" i="36" s="1"/>
  <c r="F39" i="30"/>
  <c r="D33" i="30"/>
  <c r="D32" i="30"/>
  <c r="C34" i="30"/>
  <c r="F2" i="30"/>
  <c r="I78" i="36"/>
  <c r="I66" i="36"/>
  <c r="I67" i="36"/>
  <c r="I58" i="36"/>
  <c r="I59" i="36"/>
  <c r="I48" i="36"/>
  <c r="I51" i="36"/>
  <c r="I46" i="36"/>
  <c r="I39" i="36"/>
  <c r="I43" i="36"/>
  <c r="I35" i="36"/>
  <c r="I24" i="36"/>
  <c r="I26" i="36"/>
  <c r="I16" i="36"/>
  <c r="I14" i="36"/>
  <c r="H77" i="36"/>
  <c r="H76" i="36"/>
  <c r="H75" i="36"/>
  <c r="H74" i="36"/>
  <c r="H73" i="36"/>
  <c r="H72" i="36"/>
  <c r="H69" i="36"/>
  <c r="I69" i="36" s="1"/>
  <c r="H52" i="36"/>
  <c r="I52" i="36" s="1"/>
  <c r="H49" i="36"/>
  <c r="I49" i="36" s="1"/>
  <c r="H41" i="36"/>
  <c r="I41" i="36" s="1"/>
  <c r="H40" i="36"/>
  <c r="I40" i="36" s="1"/>
  <c r="H38" i="36"/>
  <c r="I38" i="36" s="1"/>
  <c r="H31" i="36"/>
  <c r="I31" i="36" s="1"/>
  <c r="H30" i="36"/>
  <c r="I30" i="36" s="1"/>
  <c r="H29" i="36"/>
  <c r="I29" i="36" s="1"/>
  <c r="H28" i="36"/>
  <c r="I28" i="36" s="1"/>
  <c r="H27" i="36"/>
  <c r="I27" i="36" s="1"/>
  <c r="H25" i="36"/>
  <c r="I25" i="36" s="1"/>
  <c r="H23" i="36"/>
  <c r="I23" i="36" s="1"/>
  <c r="H22" i="36"/>
  <c r="I22" i="36" s="1"/>
  <c r="H21" i="36"/>
  <c r="I21" i="36" s="1"/>
  <c r="H18" i="36"/>
  <c r="H15" i="36"/>
  <c r="I15" i="36" s="1"/>
  <c r="G80" i="36"/>
  <c r="D79" i="36"/>
  <c r="E78" i="36"/>
  <c r="G77" i="36"/>
  <c r="C77" i="36"/>
  <c r="E77" i="36" s="1"/>
  <c r="G76" i="36"/>
  <c r="C76" i="36"/>
  <c r="E76" i="36" s="1"/>
  <c r="G75" i="36"/>
  <c r="C75" i="36"/>
  <c r="E75" i="36" s="1"/>
  <c r="G74" i="36"/>
  <c r="E74" i="36"/>
  <c r="G73" i="36"/>
  <c r="C73" i="36"/>
  <c r="E73" i="36" s="1"/>
  <c r="G72" i="36"/>
  <c r="C72" i="36"/>
  <c r="E72" i="36" s="1"/>
  <c r="E69" i="36"/>
  <c r="G68" i="36"/>
  <c r="I68" i="36" s="1"/>
  <c r="G61" i="36"/>
  <c r="D60" i="36"/>
  <c r="D59" i="36"/>
  <c r="E59" i="36" s="1"/>
  <c r="D57" i="36"/>
  <c r="G54" i="36"/>
  <c r="D53" i="36"/>
  <c r="D52" i="36"/>
  <c r="E51" i="36"/>
  <c r="D50" i="36"/>
  <c r="D49" i="36"/>
  <c r="D47" i="36"/>
  <c r="G44" i="36"/>
  <c r="C43" i="36"/>
  <c r="E43" i="36" s="1"/>
  <c r="D41" i="36"/>
  <c r="D40" i="36"/>
  <c r="H36" i="36"/>
  <c r="G36" i="36"/>
  <c r="E35" i="36"/>
  <c r="C34" i="36"/>
  <c r="C36" i="36" s="1"/>
  <c r="E36" i="36" s="1"/>
  <c r="G32" i="36"/>
  <c r="D31" i="36"/>
  <c r="D30" i="36"/>
  <c r="D27" i="36"/>
  <c r="E26" i="36"/>
  <c r="D24" i="36"/>
  <c r="E24" i="36" s="1"/>
  <c r="D22" i="36"/>
  <c r="G19" i="36"/>
  <c r="D18" i="36"/>
  <c r="E18" i="36" s="1"/>
  <c r="C17" i="36"/>
  <c r="E17" i="36" s="1"/>
  <c r="D15" i="36"/>
  <c r="P7" i="30"/>
  <c r="F26" i="30"/>
  <c r="G24" i="35"/>
  <c r="D24" i="35"/>
  <c r="G23" i="35"/>
  <c r="H23" i="35"/>
  <c r="D23" i="35"/>
  <c r="I25" i="35"/>
  <c r="E25" i="35"/>
  <c r="D22" i="35"/>
  <c r="D25" i="35"/>
  <c r="E11" i="35"/>
  <c r="G10" i="35"/>
  <c r="H10" i="35"/>
  <c r="G9" i="35"/>
  <c r="G8" i="35"/>
  <c r="H24" i="35"/>
  <c r="D11" i="35"/>
  <c r="H8" i="35"/>
  <c r="G22" i="35"/>
  <c r="H22" i="35"/>
  <c r="J23" i="35"/>
  <c r="J24" i="35"/>
  <c r="C11" i="35"/>
  <c r="H9" i="35"/>
  <c r="F25" i="35"/>
  <c r="C25" i="35"/>
  <c r="F11" i="35"/>
  <c r="G11" i="35"/>
  <c r="J22" i="35"/>
  <c r="D26" i="30"/>
  <c r="J25" i="35"/>
  <c r="G25" i="35"/>
  <c r="H25" i="35"/>
  <c r="H11" i="35"/>
  <c r="D29" i="34"/>
  <c r="D24" i="34"/>
  <c r="D19" i="34"/>
  <c r="D14" i="34"/>
  <c r="D9" i="34"/>
  <c r="H9" i="34"/>
  <c r="H14" i="34"/>
  <c r="H19" i="34"/>
  <c r="H24" i="34"/>
  <c r="C44" i="33"/>
  <c r="C43" i="33"/>
  <c r="C45" i="33"/>
  <c r="C42" i="33"/>
  <c r="G34" i="33"/>
  <c r="G29" i="33"/>
  <c r="G24" i="33"/>
  <c r="G19" i="33"/>
  <c r="G14" i="33"/>
  <c r="G9" i="33"/>
  <c r="P6" i="30"/>
  <c r="P4" i="30"/>
  <c r="D17" i="30"/>
  <c r="D16" i="30"/>
  <c r="D15" i="30"/>
  <c r="D13" i="30"/>
  <c r="E18" i="30"/>
  <c r="E16" i="30"/>
  <c r="E15" i="30"/>
  <c r="E14" i="30"/>
  <c r="B19" i="30"/>
  <c r="O5" i="30"/>
  <c r="O4" i="30"/>
  <c r="P5" i="30"/>
  <c r="F7" i="30"/>
  <c r="F6" i="30"/>
  <c r="D9" i="30"/>
  <c r="D18" i="30"/>
  <c r="E9" i="30"/>
  <c r="E17" i="30"/>
  <c r="O6" i="30"/>
  <c r="N6" i="30"/>
  <c r="N4" i="30"/>
  <c r="D14" i="30"/>
  <c r="E13" i="30"/>
  <c r="P8" i="30"/>
  <c r="C8" i="30"/>
  <c r="F8" i="30"/>
  <c r="F9" i="30"/>
  <c r="D19" i="30"/>
  <c r="E19" i="30"/>
  <c r="C9" i="30"/>
  <c r="C16" i="30"/>
  <c r="C18" i="30"/>
  <c r="C17" i="30"/>
  <c r="C14" i="30"/>
  <c r="C15" i="30"/>
  <c r="C13" i="30"/>
  <c r="F18" i="30"/>
  <c r="F14" i="30"/>
  <c r="F15" i="30"/>
  <c r="F16" i="30"/>
  <c r="F17" i="30"/>
  <c r="C19" i="30"/>
  <c r="F13" i="30"/>
  <c r="F19" i="30"/>
  <c r="I5" i="23"/>
  <c r="I6" i="23"/>
  <c r="I7" i="23"/>
  <c r="I8" i="23"/>
  <c r="I9" i="23"/>
  <c r="G5" i="23"/>
  <c r="G6" i="23"/>
  <c r="G7" i="23"/>
  <c r="G8" i="23"/>
  <c r="G9" i="23"/>
  <c r="E49" i="36" l="1"/>
  <c r="E53" i="36"/>
  <c r="E40" i="36"/>
  <c r="E30" i="36"/>
  <c r="F36" i="36"/>
  <c r="I10" i="23"/>
  <c r="E57" i="36"/>
  <c r="I36" i="36"/>
  <c r="E31" i="36"/>
  <c r="E41" i="36"/>
  <c r="D54" i="36"/>
  <c r="H70" i="36"/>
  <c r="I64" i="36"/>
  <c r="I70" i="36" s="1"/>
  <c r="D70" i="36"/>
  <c r="I77" i="36"/>
  <c r="I73" i="36"/>
  <c r="G10" i="23"/>
  <c r="I76" i="36"/>
  <c r="H19" i="36"/>
  <c r="H81" i="36"/>
  <c r="I81" i="36" s="1"/>
  <c r="C61" i="36"/>
  <c r="D19" i="36"/>
  <c r="I18" i="36"/>
  <c r="E67" i="36"/>
  <c r="E70" i="36" s="1"/>
  <c r="I72" i="36"/>
  <c r="E60" i="36"/>
  <c r="E50" i="36"/>
  <c r="D44" i="36"/>
  <c r="H80" i="36"/>
  <c r="I80" i="36" s="1"/>
  <c r="D82" i="36"/>
  <c r="I75" i="36"/>
  <c r="H82" i="36"/>
  <c r="E52" i="36"/>
  <c r="H61" i="36"/>
  <c r="E34" i="36"/>
  <c r="D81" i="36"/>
  <c r="E79" i="36"/>
  <c r="I44" i="36"/>
  <c r="G82" i="36"/>
  <c r="G83" i="36" s="1"/>
  <c r="G84" i="36" s="1"/>
  <c r="G79" i="36"/>
  <c r="F79" i="36"/>
  <c r="I74" i="36"/>
  <c r="H79" i="36"/>
  <c r="G70" i="36"/>
  <c r="C44" i="36"/>
  <c r="C19" i="36"/>
  <c r="C82" i="36"/>
  <c r="C70" i="36"/>
  <c r="C54" i="36"/>
  <c r="C81" i="36"/>
  <c r="I32" i="36"/>
  <c r="I61" i="36"/>
  <c r="D80" i="36"/>
  <c r="C80" i="36"/>
  <c r="E15" i="36"/>
  <c r="E19" i="36" s="1"/>
  <c r="H44" i="36"/>
  <c r="E22" i="36"/>
  <c r="E27" i="36"/>
  <c r="E47" i="36"/>
  <c r="I47" i="36"/>
  <c r="I54" i="36" s="1"/>
  <c r="F19" i="36"/>
  <c r="C79" i="36"/>
  <c r="D32" i="36"/>
  <c r="C32" i="36"/>
  <c r="H32" i="36"/>
  <c r="H54" i="36"/>
  <c r="D61" i="36"/>
  <c r="E44" i="36" l="1"/>
  <c r="J36" i="36"/>
  <c r="K36" i="36" s="1"/>
  <c r="E61" i="36"/>
  <c r="F44" i="36"/>
  <c r="E81" i="36"/>
  <c r="E82" i="36"/>
  <c r="F70" i="36"/>
  <c r="F54" i="36"/>
  <c r="D83" i="36"/>
  <c r="D84" i="36" s="1"/>
  <c r="J19" i="36"/>
  <c r="K19" i="36" s="1"/>
  <c r="H83" i="36"/>
  <c r="H84" i="36" s="1"/>
  <c r="E54" i="36"/>
  <c r="J44" i="36"/>
  <c r="K44" i="36" s="1"/>
  <c r="I19" i="36"/>
  <c r="J79" i="36"/>
  <c r="K79" i="36" s="1"/>
  <c r="I82" i="36"/>
  <c r="I79" i="36"/>
  <c r="E80" i="36"/>
  <c r="C83" i="36"/>
  <c r="C84" i="36" s="1"/>
  <c r="E32" i="36"/>
  <c r="J54" i="36"/>
  <c r="F32" i="36" l="1"/>
  <c r="J70" i="36"/>
  <c r="K70" i="36" s="1"/>
  <c r="J32" i="36"/>
  <c r="K32" i="36" s="1"/>
  <c r="F61" i="36"/>
  <c r="J61" i="36"/>
  <c r="K61" i="36" s="1"/>
  <c r="K82" i="36"/>
  <c r="K81" i="36"/>
  <c r="I83" i="36"/>
  <c r="I84" i="36" s="1"/>
  <c r="K54" i="36"/>
  <c r="E83" i="36"/>
  <c r="E84" i="36" s="1"/>
  <c r="F84" i="36" l="1"/>
  <c r="K80" i="36"/>
  <c r="J84" i="36" l="1"/>
  <c r="K84" i="36" s="1"/>
</calcChain>
</file>

<file path=xl/comments1.xml><?xml version="1.0" encoding="utf-8"?>
<comments xmlns="http://schemas.openxmlformats.org/spreadsheetml/2006/main">
  <authors>
    <author>Onyemowo IKWU</author>
  </authors>
  <commentList>
    <comment ref="M6" authorId="0">
      <text>
        <r>
          <rPr>
            <b/>
            <sz val="9"/>
            <color indexed="81"/>
            <rFont val="Tahoma"/>
            <family val="2"/>
          </rPr>
          <t>Onyemowo IKWU:</t>
        </r>
        <r>
          <rPr>
            <sz val="9"/>
            <color indexed="81"/>
            <rFont val="Tahoma"/>
            <family val="2"/>
          </rPr>
          <t xml:space="preserve">
Agencies to update with January - December 2015 expenditures.  See explanatory notes on the first sheet</t>
        </r>
      </text>
    </comment>
  </commentList>
</comments>
</file>

<file path=xl/sharedStrings.xml><?xml version="1.0" encoding="utf-8"?>
<sst xmlns="http://schemas.openxmlformats.org/spreadsheetml/2006/main" count="310" uniqueCount="177">
  <si>
    <t>Part. UN Org.</t>
  </si>
  <si>
    <t>FAO</t>
  </si>
  <si>
    <t>UNDP</t>
  </si>
  <si>
    <t>UNEP</t>
  </si>
  <si>
    <t>Outcome 8: Timely and effective UN-REDD Programme Secretariat services provided to the UN-REDD partner countries, Policy Board and the UN agencies</t>
  </si>
  <si>
    <t>Outcome 2: Credible, inclusive national governance systems are developed for REDD+ implementation</t>
  </si>
  <si>
    <t>Grand Total</t>
  </si>
  <si>
    <t>All</t>
  </si>
  <si>
    <t>Total per Participating UN Organization (all outcomes):</t>
  </si>
  <si>
    <t xml:space="preserve"> </t>
  </si>
  <si>
    <r>
      <t xml:space="preserve">Programme Outcome 
</t>
    </r>
    <r>
      <rPr>
        <sz val="11"/>
        <color theme="1"/>
        <rFont val="Calibri"/>
        <family val="2"/>
        <scheme val="minor"/>
      </rPr>
      <t>(Reference: SNA Global Programme Framework Document)</t>
    </r>
  </si>
  <si>
    <t>Outcome 4: Indigenous Peoples, local communities, civil society organizations and other stakeholders participate effectively in national and international REDD+ decision making, strategy development and implementation.</t>
  </si>
  <si>
    <r>
      <t xml:space="preserve">Outcome 5: </t>
    </r>
    <r>
      <rPr>
        <b/>
        <sz val="11"/>
        <color rgb="FF000000"/>
        <rFont val="Calibri"/>
        <family val="2"/>
        <scheme val="minor"/>
      </rPr>
      <t>Safeguards are addressed and respected and multiple benefits of REDD+ are realized</t>
    </r>
  </si>
  <si>
    <t>Outcome 6: Green economy transformation and REDD+ strategies and investments are mutually reinforcing</t>
  </si>
  <si>
    <t>Outcome 7: UN-REDD Programme knowledge is developed, managed, analyzed and shared to support REDD+ efforts at all levels (lead/coordinated by the Secretariat)</t>
  </si>
  <si>
    <t>Sub-total Outcome 2</t>
  </si>
  <si>
    <t>Sub-total Outcome 3</t>
  </si>
  <si>
    <t>Sub-total Outcome 7</t>
  </si>
  <si>
    <t>Sub-total Outcome 6</t>
  </si>
  <si>
    <t>Sub-total Outcome 5</t>
  </si>
  <si>
    <t>Sub-total Outcome 4</t>
  </si>
  <si>
    <t>Sub-total Outcome 1</t>
  </si>
  <si>
    <t>Outcome 1: REDD+ countries have systems and capacities to develop and implement MRV and monitoring</t>
  </si>
  <si>
    <t>FAO &amp; Sec</t>
  </si>
  <si>
    <t>UNDP &amp; Sec</t>
  </si>
  <si>
    <t>UNEP &amp; Sec</t>
  </si>
  <si>
    <t xml:space="preserve">UNEP (Sec) </t>
  </si>
  <si>
    <t>Total</t>
  </si>
  <si>
    <t>Commitments</t>
  </si>
  <si>
    <t>Sub-total outcome 8</t>
  </si>
  <si>
    <t>Outcome 8</t>
  </si>
  <si>
    <t>Approved budget</t>
  </si>
  <si>
    <r>
      <t xml:space="preserve">Outcome 3: National systems for transparent, equitable, credible and accountable management of REDD+ funding are strengthened </t>
    </r>
    <r>
      <rPr>
        <b/>
        <sz val="11"/>
        <color rgb="FFFF0000"/>
        <rFont val="Calibri"/>
        <family val="2"/>
        <scheme val="minor"/>
      </rPr>
      <t>(expenditures up to 31 December 2012 only, outcome activities discontinued)</t>
    </r>
  </si>
  <si>
    <t xml:space="preserve"> Accounting treatment as per agency regulation</t>
  </si>
  <si>
    <t>Duration of commitment/obligation</t>
  </si>
  <si>
    <t>Full amount of obligation/commitment (USD)</t>
  </si>
  <si>
    <t>Amount expensed/disbursed ( enter 0 if nothing has been expensed) 
(USD)</t>
  </si>
  <si>
    <t>Amount yet to be entered in financial system(total of this coulmn should match column E of consl. Sheet)
(USD)</t>
  </si>
  <si>
    <t>LOA</t>
  </si>
  <si>
    <t xml:space="preserve">Breakdown of commitments not yet recorded in the financial systems due to IPSAS or system set up </t>
  </si>
  <si>
    <t>Description of commitment</t>
  </si>
  <si>
    <t>Type of obligation/commitment 
(e.g, SSA, ICA, LoA, TS, PO, SSFA...)</t>
  </si>
  <si>
    <t>Salaries</t>
  </si>
  <si>
    <t>Payroll</t>
  </si>
  <si>
    <t xml:space="preserve"> July- December 2014</t>
  </si>
  <si>
    <t>To be recorded in the system on a monthly basis</t>
  </si>
  <si>
    <t>To support countries in incorporating multiple benefits, green economy and green investment approaches in REDD+ planning</t>
  </si>
  <si>
    <t>PCA</t>
  </si>
  <si>
    <t xml:space="preserve"> June- December 2014</t>
  </si>
  <si>
    <t>To be refleceted in the system once the first payment of USD 200,000 is disbursed</t>
  </si>
  <si>
    <t>On convening and awareness raising activities about Green Economy, sustainable land use and REDD+/ sustainable forest management</t>
  </si>
  <si>
    <t>SSFA</t>
  </si>
  <si>
    <t>To be refleceted in the system once the first payment of USD 100,000 is disbursed</t>
  </si>
  <si>
    <t>To broaden the scope of support to REDD+/Green Economy activities in Indonesia by delivering the following workshops under the REDD+ Academy; a) the first regional training course for nationals from the Asia-Pacific Region, b) a national workshop for the new national and province legislative of the Republic of Indonesia, and c) a training workshop for journalists from Indonesia.</t>
  </si>
  <si>
    <t>To be refleceted in the system once the first payment of USD 150,000 is disbursed</t>
  </si>
  <si>
    <t>To ensure that the Parties engage with the private sector in general, and private financial institutions in particular, at both international and national levels to foster public-private dialogues on REDD+ readiness and implementation within the context of a green economy, and to mobilise private finance into REDD+</t>
  </si>
  <si>
    <t>ICA</t>
  </si>
  <si>
    <t>To be refleceted in the system when expenditures are incurred</t>
  </si>
  <si>
    <r>
      <t>Output 1.1:</t>
    </r>
    <r>
      <rPr>
        <sz val="11"/>
        <color theme="1"/>
        <rFont val="Calibri"/>
        <family val="2"/>
        <scheme val="minor"/>
      </rPr>
      <t xml:space="preserve"> </t>
    </r>
  </si>
  <si>
    <t>Output 1.2:</t>
  </si>
  <si>
    <r>
      <t>Output 2.1:</t>
    </r>
    <r>
      <rPr>
        <sz val="11"/>
        <color theme="1"/>
        <rFont val="Calibri"/>
        <family val="2"/>
        <scheme val="minor"/>
      </rPr>
      <t xml:space="preserve"> </t>
    </r>
  </si>
  <si>
    <r>
      <t>Output 2.2:</t>
    </r>
    <r>
      <rPr>
        <sz val="11"/>
        <color theme="1"/>
        <rFont val="Calibri"/>
        <family val="2"/>
        <scheme val="minor"/>
      </rPr>
      <t xml:space="preserve"> </t>
    </r>
  </si>
  <si>
    <t>Output 2.3:</t>
  </si>
  <si>
    <t xml:space="preserve">Output 2.4: </t>
  </si>
  <si>
    <r>
      <t>Output 2.5:</t>
    </r>
    <r>
      <rPr>
        <sz val="11"/>
        <color theme="1"/>
        <rFont val="Calibri"/>
        <family val="2"/>
        <scheme val="minor"/>
      </rPr>
      <t xml:space="preserve"> </t>
    </r>
  </si>
  <si>
    <r>
      <t>Output 2.6:</t>
    </r>
    <r>
      <rPr>
        <sz val="11"/>
        <color theme="1"/>
        <rFont val="Calibri"/>
        <family val="2"/>
        <scheme val="minor"/>
      </rPr>
      <t xml:space="preserve"> </t>
    </r>
  </si>
  <si>
    <r>
      <t>Output 2.7:</t>
    </r>
    <r>
      <rPr>
        <sz val="11"/>
        <color theme="1"/>
        <rFont val="Calibri"/>
        <family val="2"/>
        <scheme val="minor"/>
      </rPr>
      <t xml:space="preserve"> </t>
    </r>
  </si>
  <si>
    <r>
      <t>Output 3.2:</t>
    </r>
    <r>
      <rPr>
        <sz val="11"/>
        <color theme="1"/>
        <rFont val="Calibri"/>
        <family val="2"/>
        <scheme val="minor"/>
      </rPr>
      <t xml:space="preserve"> </t>
    </r>
  </si>
  <si>
    <r>
      <t>Output 3.4:</t>
    </r>
    <r>
      <rPr>
        <sz val="11"/>
        <color theme="1"/>
        <rFont val="Calibri"/>
        <family val="2"/>
        <scheme val="minor"/>
      </rPr>
      <t xml:space="preserve"> </t>
    </r>
  </si>
  <si>
    <t xml:space="preserve">Output 4.1: </t>
  </si>
  <si>
    <r>
      <t>Output 4.2:</t>
    </r>
    <r>
      <rPr>
        <sz val="11"/>
        <color theme="1"/>
        <rFont val="Calibri"/>
        <family val="2"/>
        <scheme val="minor"/>
      </rPr>
      <t xml:space="preserve"> </t>
    </r>
  </si>
  <si>
    <r>
      <t>Output 4.3:</t>
    </r>
    <r>
      <rPr>
        <sz val="11"/>
        <color theme="1"/>
        <rFont val="Calibri"/>
        <family val="2"/>
        <scheme val="minor"/>
      </rPr>
      <t xml:space="preserve"> </t>
    </r>
  </si>
  <si>
    <t>Output 2.8:</t>
  </si>
  <si>
    <r>
      <t>Output 4.4:</t>
    </r>
    <r>
      <rPr>
        <sz val="11"/>
        <color theme="1"/>
        <rFont val="Calibri"/>
        <family val="2"/>
        <scheme val="minor"/>
      </rPr>
      <t xml:space="preserve"> </t>
    </r>
  </si>
  <si>
    <r>
      <t>Output 4.5:</t>
    </r>
    <r>
      <rPr>
        <sz val="11"/>
        <color theme="1"/>
        <rFont val="Calibri"/>
        <family val="2"/>
        <scheme val="minor"/>
      </rPr>
      <t xml:space="preserve"> </t>
    </r>
  </si>
  <si>
    <r>
      <t>Output 5.1:</t>
    </r>
    <r>
      <rPr>
        <sz val="11"/>
        <color theme="1"/>
        <rFont val="Calibri"/>
        <family val="2"/>
        <scheme val="minor"/>
      </rPr>
      <t xml:space="preserve"> </t>
    </r>
  </si>
  <si>
    <t xml:space="preserve">Output 5.2: </t>
  </si>
  <si>
    <r>
      <t>Output 5.3:</t>
    </r>
    <r>
      <rPr>
        <sz val="11"/>
        <color theme="1"/>
        <rFont val="Calibri"/>
        <family val="2"/>
        <scheme val="minor"/>
      </rPr>
      <t xml:space="preserve"> </t>
    </r>
  </si>
  <si>
    <r>
      <t>Output 6.1:</t>
    </r>
    <r>
      <rPr>
        <sz val="11"/>
        <color theme="1"/>
        <rFont val="Calibri"/>
        <family val="2"/>
        <scheme val="minor"/>
      </rPr>
      <t xml:space="preserve"> </t>
    </r>
  </si>
  <si>
    <r>
      <t>Output 6.2:</t>
    </r>
    <r>
      <rPr>
        <sz val="11"/>
        <color theme="1"/>
        <rFont val="Calibri"/>
        <family val="2"/>
        <scheme val="minor"/>
      </rPr>
      <t xml:space="preserve"> </t>
    </r>
  </si>
  <si>
    <r>
      <rPr>
        <b/>
        <sz val="11"/>
        <color theme="1"/>
        <rFont val="Calibri"/>
        <family val="2"/>
        <scheme val="minor"/>
      </rPr>
      <t>Output 6.3:</t>
    </r>
    <r>
      <rPr>
        <sz val="11"/>
        <color theme="1"/>
        <rFont val="Calibri"/>
        <family val="2"/>
        <scheme val="minor"/>
      </rPr>
      <t xml:space="preserve"> </t>
    </r>
  </si>
  <si>
    <r>
      <t>Output 7.1:</t>
    </r>
    <r>
      <rPr>
        <sz val="11"/>
        <color theme="1"/>
        <rFont val="Calibri"/>
        <family val="2"/>
        <scheme val="minor"/>
      </rPr>
      <t xml:space="preserve">  </t>
    </r>
  </si>
  <si>
    <r>
      <t>Output 7.2:</t>
    </r>
    <r>
      <rPr>
        <sz val="11"/>
        <color theme="1"/>
        <rFont val="Calibri"/>
        <family val="2"/>
        <scheme val="minor"/>
      </rPr>
      <t xml:space="preserve"> </t>
    </r>
  </si>
  <si>
    <t xml:space="preserve">Output 7.3: </t>
  </si>
  <si>
    <r>
      <t>Output 8.1:</t>
    </r>
    <r>
      <rPr>
        <sz val="11"/>
        <color theme="1"/>
        <rFont val="Calibri"/>
        <family val="2"/>
        <scheme val="minor"/>
      </rPr>
      <t xml:space="preserve"> </t>
    </r>
  </si>
  <si>
    <r>
      <t>Output 8.2:</t>
    </r>
    <r>
      <rPr>
        <sz val="11"/>
        <color theme="1"/>
        <rFont val="Calibri"/>
        <family val="2"/>
        <scheme val="minor"/>
      </rPr>
      <t xml:space="preserve"> </t>
    </r>
  </si>
  <si>
    <r>
      <t>Output 8.3:</t>
    </r>
    <r>
      <rPr>
        <sz val="11"/>
        <color theme="1"/>
        <rFont val="Calibri"/>
        <family val="2"/>
        <scheme val="minor"/>
      </rPr>
      <t xml:space="preserve"> </t>
    </r>
  </si>
  <si>
    <r>
      <t>Output 8.4:</t>
    </r>
    <r>
      <rPr>
        <sz val="11"/>
        <color theme="1"/>
        <rFont val="Calibri"/>
        <family val="2"/>
        <scheme val="minor"/>
      </rPr>
      <t xml:space="preserve"> </t>
    </r>
  </si>
  <si>
    <r>
      <t>Output 8.5:</t>
    </r>
    <r>
      <rPr>
        <sz val="11"/>
        <color theme="1"/>
        <rFont val="Calibri"/>
        <family val="2"/>
        <scheme val="minor"/>
      </rPr>
      <t xml:space="preserve"> </t>
    </r>
  </si>
  <si>
    <r>
      <t>Output 8.6:</t>
    </r>
    <r>
      <rPr>
        <sz val="11"/>
        <color theme="1"/>
        <rFont val="Calibri"/>
        <family val="2"/>
        <scheme val="minor"/>
      </rPr>
      <t xml:space="preserve"> </t>
    </r>
  </si>
  <si>
    <r>
      <t xml:space="preserve">Output 8.7: </t>
    </r>
    <r>
      <rPr>
        <sz val="11"/>
        <color theme="1"/>
        <rFont val="Calibri"/>
        <family val="2"/>
        <scheme val="minor"/>
      </rPr>
      <t xml:space="preserve"> 
</t>
    </r>
  </si>
  <si>
    <t>Prior Years' Expenditures</t>
  </si>
  <si>
    <t xml:space="preserve">Output 4.6: </t>
  </si>
  <si>
    <t>Approved Budget Jan- Dec 2015</t>
  </si>
  <si>
    <t>Output 1.3</t>
  </si>
  <si>
    <t>Output 2.2 bis:</t>
  </si>
  <si>
    <t>2015 Secretariat expenditures</t>
  </si>
  <si>
    <t>Actual Disbursement</t>
  </si>
  <si>
    <t>Prog. Comm</t>
  </si>
  <si>
    <t>Fin. Comm</t>
  </si>
  <si>
    <t>Outcome 7, UNEP</t>
  </si>
  <si>
    <t>Budget</t>
  </si>
  <si>
    <t>% of total budget</t>
  </si>
  <si>
    <t>Share of exp</t>
  </si>
  <si>
    <t>Outputs</t>
  </si>
  <si>
    <t>%</t>
  </si>
  <si>
    <r>
      <t xml:space="preserve">Approved </t>
    </r>
    <r>
      <rPr>
        <b/>
        <vertAlign val="superscript"/>
        <sz val="9"/>
        <color rgb="FF000000"/>
        <rFont val="Calibri"/>
        <family val="2"/>
        <scheme val="minor"/>
      </rPr>
      <t xml:space="preserve">1 </t>
    </r>
    <r>
      <rPr>
        <b/>
        <sz val="9"/>
        <color rgb="FF000000"/>
        <rFont val="Calibri"/>
        <family val="2"/>
        <scheme val="minor"/>
      </rPr>
      <t>Budget Allocation</t>
    </r>
  </si>
  <si>
    <t>Net Funded Amount</t>
  </si>
  <si>
    <t>Cumulative Expenditures</t>
  </si>
  <si>
    <t>Approved* Budget Allocation</t>
  </si>
  <si>
    <t>Prior Period Expenditures as of 31 December 2014</t>
  </si>
  <si>
    <t>Current period (Jan- June 2015) Expenditures</t>
  </si>
  <si>
    <r>
      <t xml:space="preserve">Current Period </t>
    </r>
    <r>
      <rPr>
        <b/>
        <vertAlign val="superscript"/>
        <sz val="9"/>
        <color rgb="FF000000"/>
        <rFont val="Calibri"/>
        <family val="2"/>
        <scheme val="minor"/>
      </rPr>
      <t>2</t>
    </r>
    <r>
      <rPr>
        <b/>
        <sz val="9"/>
        <color rgb="FF000000"/>
        <rFont val="Calibri"/>
        <family val="2"/>
        <scheme val="minor"/>
      </rPr>
      <t xml:space="preserve"> (Jan - June 2015) Expenditures</t>
    </r>
  </si>
  <si>
    <t>Cumulative Expenditures + Commitments</t>
  </si>
  <si>
    <t>MPTF Projects</t>
  </si>
  <si>
    <t>Data as of 2 Sep 2015 1:00 PM GMT</t>
  </si>
  <si>
    <t>All amounts in US$</t>
  </si>
  <si>
    <t>Fund: UN REDD Programme Fund</t>
  </si>
  <si>
    <t>Organization</t>
  </si>
  <si>
    <t>Year</t>
  </si>
  <si>
    <t>Transfers</t>
  </si>
  <si>
    <t>Refunds</t>
  </si>
  <si>
    <t>Expenditure</t>
  </si>
  <si>
    <t>Delivery rate</t>
  </si>
  <si>
    <t>RED/2F67 &amp; 2F68 - Su</t>
  </si>
  <si>
    <t>MULTIREF 00080070</t>
  </si>
  <si>
    <t>TF5C35AA11682</t>
  </si>
  <si>
    <t>Proj. Reference</t>
  </si>
  <si>
    <t>Project: UN-REDD Support to Country Act</t>
  </si>
  <si>
    <t>Delivery, Cum. Exp./Net Funded Amount</t>
  </si>
  <si>
    <t>Notes:</t>
  </si>
  <si>
    <t>1.Included in the funds approved for UNEP is US$613,695 deposited directly to UNEP by the Government of Spain for the SNA-GP, as such the amount not included in approved amount reported by the MPTF in the consolidated report. The indirect support cost charged for these funds is 8% as per the signed contribution agreement.</t>
  </si>
  <si>
    <r>
      <t xml:space="preserve">Approved Budget 
 1 Nov 2011 - 31 December 2014 (US$) </t>
    </r>
    <r>
      <rPr>
        <b/>
        <sz val="11"/>
        <color theme="1"/>
        <rFont val="Calibri"/>
        <family val="2"/>
        <scheme val="minor"/>
      </rPr>
      <t xml:space="preserve">
</t>
    </r>
  </si>
  <si>
    <t>Apportioning UNEP secretariat costs between outcome 7 and outcome 8</t>
  </si>
  <si>
    <t>% of budget</t>
  </si>
  <si>
    <t>Obtain % of outcome 7 budget to the total of outcome 7 &amp; 8 budgeted for UNEP</t>
  </si>
  <si>
    <t xml:space="preserve">Total UNEP Sec budget </t>
  </si>
  <si>
    <t xml:space="preserve">% of outcome 7 </t>
  </si>
  <si>
    <t>Apportion total expenditures using 28% for outcome 7 and 72% for outcome 8</t>
  </si>
  <si>
    <t>Obtain appropriate proportion of outputs 7.1 and 7.2 of the total budget for the outcome</t>
  </si>
  <si>
    <t>Table 1.  Consolidated SNA Expenditures 1 November 2011 - 31 December 2015 (US$)</t>
  </si>
  <si>
    <t>Secretariat (See note 4)</t>
  </si>
  <si>
    <t>Country Specific Support</t>
  </si>
  <si>
    <t>Back-stopping (See note 2 above) (J)</t>
  </si>
  <si>
    <t>Targeted Support excluding back-stopping  (See note 3 above) (K)</t>
  </si>
  <si>
    <t>Country Specific support  (Sum of column J + K)</t>
  </si>
  <si>
    <r>
      <rPr>
        <b/>
        <sz val="11"/>
        <color theme="1"/>
        <rFont val="Calibri"/>
        <family val="2"/>
        <scheme val="minor"/>
      </rPr>
      <t>Note 1 (ISF)</t>
    </r>
    <r>
      <rPr>
        <sz val="11"/>
        <color theme="1"/>
        <rFont val="Calibri"/>
        <family val="2"/>
        <scheme val="minor"/>
      </rPr>
      <t>.  Salaries of UN-REDD human resources; staff, consultants, admin &amp; financial support staff, etc.</t>
    </r>
  </si>
  <si>
    <t xml:space="preserve">Guidelines for completion  </t>
  </si>
  <si>
    <t>A. Current period expenditures &amp; commitments</t>
  </si>
  <si>
    <t xml:space="preserve">B. Expenditure per category of support </t>
  </si>
  <si>
    <t>Notes/description of caterories</t>
  </si>
  <si>
    <t xml:space="preserve">Current Period </t>
  </si>
  <si>
    <t xml:space="preserve">Note 2 (Back-stopping): With reference to the elaboration of the support categories for the budget planning 2013-2014 and for the semi-annual report 2012, this category refers to proportion of salaries of UN-REDD international staff providing support to countries, including travel costs for scoping missions and missions directly related to supporting country activities by agency staff at HQ or regional offices. It also refers to salary time for remote country support.
Furthermore, the document “Procedures for Assessing UN-REDD Programme Targeted Support (approved at PB8)” states that backstopping refers to the development and implementation of NPs and whenever such backstopping is covered financially by the Global Programme (i.e. SNA) it is considered targeted support..
Note 3 (TS excl. backstopping). All activities agreed under the specific Targeted Support mechanism. (Support officially requested by the countries and approved, following  the process established). 
Note 4 (Secretariat). Salary and related costs of Secretariat staff.
</t>
  </si>
  <si>
    <t>Expenditures as of 31 December 2015
C</t>
  </si>
  <si>
    <t>Programmatic &amp; Financial Commitments as of 31 December 2015
D</t>
  </si>
  <si>
    <t>Total: Expenditures +Commitments 
E (C+D)</t>
  </si>
  <si>
    <r>
      <t xml:space="preserve"> Cumulative: Expenditures + commitments
(</t>
    </r>
    <r>
      <rPr>
        <b/>
        <sz val="11"/>
        <rFont val="Calibri"/>
        <family val="2"/>
        <scheme val="minor"/>
      </rPr>
      <t>1 November 2011 - 30 June 2015)</t>
    </r>
    <r>
      <rPr>
        <b/>
        <sz val="11"/>
        <color theme="1"/>
        <rFont val="Calibri"/>
        <family val="2"/>
        <scheme val="minor"/>
      </rPr>
      <t xml:space="preserve">
       (B+E) 
  F</t>
    </r>
  </si>
  <si>
    <t>Exp.+Commitment/Approved Budget (%)
F/A
G</t>
  </si>
  <si>
    <t>Expenditure per category of support 
1 November 2011 - 31 December 2015
The sum of these amount/s  per output should equal the amounts indicated in the column titled (F) to the left.</t>
  </si>
  <si>
    <t>Balance Carry forward to 2016
(A - F)
H</t>
  </si>
  <si>
    <t>SUMMARY OF  EXPENDITURE CATEGORIES (percent of total Programme expenditure)</t>
  </si>
  <si>
    <t>Category of Support</t>
  </si>
  <si>
    <t>Category /total expenditure(%)</t>
  </si>
  <si>
    <t>International Support Functions</t>
  </si>
  <si>
    <t>Country-Specific support</t>
  </si>
  <si>
    <t>Backstopping</t>
  </si>
  <si>
    <t>Targeted Support excludind backstopping</t>
  </si>
  <si>
    <t>Secretariat</t>
  </si>
  <si>
    <t>Agencies to update this section with January - December expenditures, the total should match figures under column titled (F)</t>
  </si>
  <si>
    <t>Description</t>
  </si>
  <si>
    <t>Programmatic</t>
  </si>
  <si>
    <t>Financial</t>
  </si>
  <si>
    <t>Intern. support functions (ISF)  (See notes in first sheet)</t>
  </si>
  <si>
    <t>Cumulative Approved Budget 1 Nov 2011 - 31 December 2015 
A</t>
  </si>
  <si>
    <t>1 Nov 2011 - 31 Dec 2014 Expenditures
B</t>
  </si>
  <si>
    <t>List of Programmatic &amp; Financial Commitments as of December 2015 (US$)</t>
  </si>
  <si>
    <r>
      <rPr>
        <u/>
        <sz val="11"/>
        <color theme="1"/>
        <rFont val="Calibri"/>
        <family val="2"/>
      </rPr>
      <t>Definitions of financial categories:</t>
    </r>
    <r>
      <rPr>
        <sz val="11"/>
        <color theme="1"/>
        <rFont val="Calibri"/>
        <family val="2"/>
      </rPr>
      <t xml:space="preserve">
1. </t>
    </r>
    <r>
      <rPr>
        <b/>
        <u/>
        <sz val="11"/>
        <color theme="1"/>
        <rFont val="Calibri"/>
        <family val="2"/>
      </rPr>
      <t>E</t>
    </r>
    <r>
      <rPr>
        <b/>
        <sz val="11"/>
        <color theme="1"/>
        <rFont val="Calibri"/>
        <family val="2"/>
      </rPr>
      <t>xpenditures as of 31 December 2015 (E):</t>
    </r>
    <r>
      <rPr>
        <sz val="11"/>
        <color theme="1"/>
        <rFont val="Calibri"/>
        <family val="2"/>
      </rPr>
      <t xml:space="preserve">  total of </t>
    </r>
    <r>
      <rPr>
        <b/>
        <sz val="11"/>
        <color theme="1"/>
        <rFont val="Calibri"/>
        <family val="2"/>
      </rPr>
      <t>(a)Disbursement</t>
    </r>
    <r>
      <rPr>
        <sz val="11"/>
        <color theme="1"/>
        <rFont val="Calibri"/>
        <family val="2"/>
      </rPr>
      <t xml:space="preserve"> which are amounts paid to a vendor or entity for goods received, work completed, and/or services rendered (does not include un-liquidated obligations) </t>
    </r>
    <r>
      <rPr>
        <b/>
        <sz val="11"/>
        <color theme="1"/>
        <rFont val="Calibri"/>
        <family val="2"/>
      </rPr>
      <t xml:space="preserve">plus (b) Commitments </t>
    </r>
    <r>
      <rPr>
        <sz val="11"/>
        <color theme="1"/>
        <rFont val="Calibri"/>
        <family val="2"/>
      </rPr>
      <t xml:space="preserve"> which are the amount for which legally binding contracts have </t>
    </r>
    <r>
      <rPr>
        <sz val="11"/>
        <rFont val="Calibri"/>
        <family val="2"/>
      </rPr>
      <t>been</t>
    </r>
    <r>
      <rPr>
        <i/>
        <sz val="11"/>
        <rFont val="Calibri"/>
        <family val="2"/>
      </rPr>
      <t xml:space="preserve"> </t>
    </r>
    <r>
      <rPr>
        <sz val="11"/>
        <rFont val="Calibri"/>
        <family val="2"/>
      </rPr>
      <t>signed and</t>
    </r>
    <r>
      <rPr>
        <i/>
        <sz val="11"/>
        <rFont val="Calibri"/>
        <family val="2"/>
      </rPr>
      <t xml:space="preserve"> </t>
    </r>
    <r>
      <rPr>
        <b/>
        <i/>
        <u/>
        <sz val="11"/>
        <rFont val="Calibri"/>
        <family val="2"/>
      </rPr>
      <t>recorded by the Agencies’ financial systems</t>
    </r>
    <r>
      <rPr>
        <sz val="11"/>
        <color theme="1"/>
        <rFont val="Calibri"/>
        <family val="2"/>
      </rPr>
      <t>, including multi-year commitments which may be disbursed in future years.</t>
    </r>
    <r>
      <rPr>
        <u/>
        <sz val="11"/>
        <color theme="1"/>
        <rFont val="Calibri"/>
        <family val="2"/>
      </rPr>
      <t xml:space="preserve"> </t>
    </r>
    <r>
      <rPr>
        <sz val="11"/>
        <color theme="1"/>
        <rFont val="Calibri"/>
        <family val="2"/>
      </rPr>
      <t xml:space="preserve"> 
</t>
    </r>
    <r>
      <rPr>
        <b/>
        <sz val="11"/>
        <color theme="1"/>
        <rFont val="Calibri"/>
        <family val="2"/>
      </rPr>
      <t>2.Programmatic &amp; Financial commitments as 31 Dec 2015(F):</t>
    </r>
    <r>
      <rPr>
        <sz val="11"/>
        <color theme="1"/>
        <rFont val="Calibri"/>
        <family val="2"/>
      </rPr>
      <t xml:space="preserve"> the amount for which legally binding contracts have been signed </t>
    </r>
    <r>
      <rPr>
        <u/>
        <sz val="11"/>
        <color theme="1"/>
        <rFont val="Calibri"/>
        <family val="2"/>
      </rPr>
      <t xml:space="preserve">but </t>
    </r>
    <r>
      <rPr>
        <b/>
        <i/>
        <u/>
        <sz val="11"/>
        <color theme="1"/>
        <rFont val="Calibri"/>
        <family val="2"/>
      </rPr>
      <t>not yet entered/recorded</t>
    </r>
    <r>
      <rPr>
        <sz val="11"/>
        <color theme="1"/>
        <rFont val="Calibri"/>
        <family val="2"/>
      </rPr>
      <t xml:space="preserve"> in the Agencies’ financial systems due to IPSAS rules but expected to be disbursed in 2016. Below is further definition/guidance on what can be included:
</t>
    </r>
    <r>
      <rPr>
        <i/>
        <u/>
        <sz val="11"/>
        <color theme="1"/>
        <rFont val="Calibri"/>
        <family val="2"/>
      </rPr>
      <t>Programmatic Commitment</t>
    </r>
    <r>
      <rPr>
        <sz val="11"/>
        <color theme="1"/>
        <rFont val="Calibri"/>
        <family val="2"/>
      </rPr>
      <t xml:space="preserve">
</t>
    </r>
    <r>
      <rPr>
        <b/>
        <sz val="11"/>
        <color theme="1"/>
        <rFont val="Calibri"/>
        <family val="2"/>
      </rPr>
      <t>a)</t>
    </r>
    <r>
      <rPr>
        <sz val="11"/>
        <color theme="1"/>
        <rFont val="Calibri"/>
        <family val="2"/>
      </rPr>
      <t xml:space="preserve"> </t>
    </r>
    <r>
      <rPr>
        <b/>
        <sz val="11"/>
        <color theme="1"/>
        <rFont val="Calibri"/>
        <family val="2"/>
      </rPr>
      <t xml:space="preserve">Targeted Support (TS) </t>
    </r>
    <r>
      <rPr>
        <sz val="11"/>
        <color theme="1"/>
        <rFont val="Calibri"/>
        <family val="2"/>
      </rPr>
      <t xml:space="preserve">approved on or before 31 December 2015: these are the amounts officially communicated to countries by the Secretariat as approved but not yet disbursed. </t>
    </r>
    <r>
      <rPr>
        <b/>
        <sz val="11"/>
        <color theme="1"/>
        <rFont val="Calibri"/>
        <family val="2"/>
      </rPr>
      <t>b) Country Needs Assessments (CNAs)</t>
    </r>
    <r>
      <rPr>
        <sz val="11"/>
        <color theme="1"/>
        <rFont val="Calibri"/>
        <family val="2"/>
      </rPr>
      <t xml:space="preserve">: CNAs approved up to 31 December 2015 but yet to be disbursed. (c) </t>
    </r>
    <r>
      <rPr>
        <b/>
        <sz val="11"/>
        <color theme="1"/>
        <rFont val="Calibri"/>
        <family val="2"/>
      </rPr>
      <t>CBR+:</t>
    </r>
    <r>
      <rPr>
        <sz val="11"/>
        <color theme="1"/>
        <rFont val="Calibri"/>
        <family val="2"/>
      </rPr>
      <t xml:space="preserve"> amounts committed but yet to be disbursed.
</t>
    </r>
    <r>
      <rPr>
        <i/>
        <u/>
        <sz val="11"/>
        <color theme="1"/>
        <rFont val="Calibri"/>
        <family val="2"/>
      </rPr>
      <t xml:space="preserve">Financial Commitment </t>
    </r>
    <r>
      <rPr>
        <sz val="11"/>
        <color theme="1"/>
        <rFont val="Calibri"/>
        <family val="2"/>
      </rPr>
      <t xml:space="preserve">
d</t>
    </r>
    <r>
      <rPr>
        <b/>
        <sz val="11"/>
        <color theme="1"/>
        <rFont val="Calibri"/>
        <family val="2"/>
      </rPr>
      <t>) Legally binding contracts</t>
    </r>
    <r>
      <rPr>
        <sz val="11"/>
        <color theme="1"/>
        <rFont val="Calibri"/>
        <family val="2"/>
      </rPr>
      <t xml:space="preserve"> signed on or before 31 December 2015 (Agreements/contracts with third parties/implementing partners): As per IPSAS regulations, only expenditures of current period are recorded, funds programmed beyond the current period may be recorded under financial commitment.   
Please note: </t>
    </r>
    <r>
      <rPr>
        <b/>
        <i/>
        <sz val="11"/>
        <color rgb="FFFF0000"/>
        <rFont val="Calibri"/>
        <family val="2"/>
      </rPr>
      <t>A breakdown/list of these Programmatic &amp; financial commitments should be provided as additional information- See third sheet.</t>
    </r>
    <r>
      <rPr>
        <sz val="11"/>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</si>
</sst>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 #,##0.00_ ;_ * \-#,##0.00_ ;_ * &quot;-&quot;??_ ;_ @_ "/>
    <numFmt numFmtId="165" formatCode="_(&quot;$&quot;* #,##0.00_);_(&quot;$&quot;* \(#,##0.00\);_(&quot;$&quot;* &quot;-&quot;??_);_(@_)"/>
    <numFmt numFmtId="166" formatCode="_(* #,##0.00_);_(* \(#,##0.00\);_(* &quot;-&quot;??_);_(@_)"/>
    <numFmt numFmtId="167" formatCode="[$$-409]#,##0"/>
    <numFmt numFmtId="168" formatCode="_ * #,##0_ ;_ * \-#,##0_ ;_ * &quot;-&quot;??_ ;_ @_ "/>
    <numFmt numFmtId="169" formatCode="0.0%"/>
    <numFmt numFmtId="170" formatCode="#,##0.00_ ;[Red]\-#,##0.00\ "/>
  </numFmts>
  <fonts count="54" x14ac:knownFonts="1">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8"/>
      <color theme="1"/>
      <name val="Arial"/>
      <family val="2"/>
    </font>
    <font>
      <b/>
      <sz val="11"/>
      <color rgb="FF000000"/>
      <name val="Calibri"/>
      <family val="2"/>
      <scheme val="minor"/>
    </font>
    <font>
      <b/>
      <sz val="12"/>
      <color theme="1"/>
      <name val="Calibri"/>
      <family val="2"/>
      <scheme val="minor"/>
    </font>
    <font>
      <sz val="10"/>
      <name val="Arial"/>
      <family val="2"/>
    </font>
    <font>
      <sz val="11"/>
      <color indexed="8"/>
      <name val="Calibri"/>
      <family val="2"/>
    </font>
    <font>
      <sz val="12"/>
      <name val="Calibri"/>
      <family val="2"/>
    </font>
    <font>
      <sz val="10"/>
      <name val="Arial"/>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1"/>
      <color theme="1"/>
      <name val="Calibri"/>
      <family val="2"/>
    </font>
    <font>
      <sz val="11"/>
      <color theme="1"/>
      <name val="Calibri"/>
      <family val="2"/>
    </font>
    <font>
      <sz val="11"/>
      <color rgb="FFFF0000"/>
      <name val="Calibri"/>
      <family val="2"/>
      <scheme val="minor"/>
    </font>
    <font>
      <b/>
      <sz val="11"/>
      <color theme="1"/>
      <name val="Calibri"/>
      <family val="2"/>
    </font>
    <font>
      <b/>
      <sz val="11"/>
      <color rgb="FFFF0000"/>
      <name val="Calibri"/>
      <family val="2"/>
      <scheme val="minor"/>
    </font>
    <font>
      <sz val="11"/>
      <name val="Calibri"/>
      <family val="2"/>
      <scheme val="minor"/>
    </font>
    <font>
      <b/>
      <u/>
      <sz val="12"/>
      <color theme="1"/>
      <name val="Calibri"/>
      <family val="2"/>
      <scheme val="minor"/>
    </font>
    <font>
      <b/>
      <sz val="10"/>
      <color theme="1"/>
      <name val="Calibri"/>
      <family val="2"/>
      <scheme val="minor"/>
    </font>
    <font>
      <b/>
      <i/>
      <sz val="11"/>
      <color rgb="FFFF0000"/>
      <name val="Calibri"/>
      <family val="2"/>
    </font>
    <font>
      <b/>
      <u/>
      <sz val="11"/>
      <color theme="1"/>
      <name val="Calibri"/>
      <family val="2"/>
    </font>
    <font>
      <i/>
      <u/>
      <sz val="11"/>
      <color theme="1"/>
      <name val="Calibri"/>
      <family val="2"/>
    </font>
    <font>
      <b/>
      <sz val="9"/>
      <color rgb="FF000000"/>
      <name val="Calibri"/>
      <family val="2"/>
      <scheme val="minor"/>
    </font>
    <font>
      <b/>
      <vertAlign val="superscript"/>
      <sz val="9"/>
      <color rgb="FF000000"/>
      <name val="Calibri"/>
      <family val="2"/>
      <scheme val="minor"/>
    </font>
    <font>
      <sz val="9"/>
      <color rgb="FF000000"/>
      <name val="Calibri"/>
      <family val="2"/>
      <scheme val="minor"/>
    </font>
    <font>
      <sz val="10"/>
      <name val="Arial"/>
      <family val="2"/>
    </font>
    <font>
      <b/>
      <sz val="12"/>
      <color indexed="18"/>
      <name val="Arial"/>
      <family val="2"/>
    </font>
    <font>
      <b/>
      <sz val="10"/>
      <name val="Arial"/>
      <family val="2"/>
    </font>
    <font>
      <b/>
      <sz val="10"/>
      <name val="Arial"/>
      <family val="2"/>
    </font>
    <font>
      <b/>
      <sz val="12"/>
      <color indexed="18"/>
      <name val="Arial"/>
      <family val="2"/>
    </font>
    <font>
      <i/>
      <sz val="11"/>
      <name val="Calibri"/>
      <family val="2"/>
    </font>
    <font>
      <sz val="9"/>
      <color indexed="81"/>
      <name val="Tahoma"/>
      <family val="2"/>
    </font>
    <font>
      <b/>
      <sz val="9"/>
      <color indexed="81"/>
      <name val="Tahoma"/>
      <family val="2"/>
    </font>
    <font>
      <b/>
      <u/>
      <sz val="11"/>
      <color theme="1"/>
      <name val="Calibri"/>
      <family val="2"/>
      <scheme val="minor"/>
    </font>
    <font>
      <b/>
      <i/>
      <sz val="12"/>
      <color theme="1"/>
      <name val="Calibri"/>
      <family val="2"/>
      <scheme val="minor"/>
    </font>
    <font>
      <b/>
      <i/>
      <u/>
      <sz val="11"/>
      <color theme="1"/>
      <name val="Calibri"/>
      <family val="2"/>
    </font>
    <font>
      <b/>
      <i/>
      <u/>
      <sz val="11"/>
      <name val="Calibri"/>
      <family val="2"/>
    </font>
    <font>
      <sz val="11"/>
      <name val="Calibri"/>
      <family val="2"/>
    </font>
  </fonts>
  <fills count="37">
    <fill>
      <patternFill patternType="none"/>
    </fill>
    <fill>
      <patternFill patternType="gray125"/>
    </fill>
    <fill>
      <patternFill patternType="solid">
        <fgColor rgb="FFD9D9D9"/>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rgb="FFB8CCE4"/>
        <bgColor indexed="64"/>
      </patternFill>
    </fill>
    <fill>
      <patternFill patternType="solid">
        <fgColor rgb="FF8DB4E2"/>
        <bgColor indexed="64"/>
      </patternFill>
    </fill>
    <fill>
      <patternFill patternType="solid">
        <fgColor indexed="22"/>
        <bgColor indexed="64"/>
      </patternFill>
    </fill>
    <fill>
      <patternFill patternType="solid">
        <fgColor theme="4" tint="0.39997558519241921"/>
        <bgColor indexed="64"/>
      </patternFill>
    </fill>
    <fill>
      <patternFill patternType="solid">
        <fgColor rgb="FF00B0F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s>
  <cellStyleXfs count="199">
    <xf numFmtId="0" fontId="0" fillId="0" borderId="0"/>
    <xf numFmtId="164" fontId="3" fillId="0" borderId="0" applyFont="0" applyFill="0" applyBorder="0" applyAlignment="0" applyProtection="0"/>
    <xf numFmtId="0" fontId="3" fillId="0" borderId="0"/>
    <xf numFmtId="0" fontId="4" fillId="0" borderId="0"/>
    <xf numFmtId="9" fontId="3" fillId="0" borderId="0" applyFont="0" applyFill="0" applyBorder="0" applyAlignment="0" applyProtection="0"/>
    <xf numFmtId="0" fontId="7" fillId="0" borderId="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7" fillId="0" borderId="0" applyFont="0" applyFill="0" applyBorder="0" applyAlignment="0" applyProtection="0"/>
    <xf numFmtId="9" fontId="8" fillId="0" borderId="0" applyFont="0" applyFill="0" applyBorder="0" applyAlignment="0" applyProtection="0"/>
    <xf numFmtId="0" fontId="9" fillId="0" borderId="7">
      <alignment vertical="top" wrapText="1"/>
    </xf>
    <xf numFmtId="0" fontId="10" fillId="0" borderId="0"/>
    <xf numFmtId="0" fontId="3" fillId="0" borderId="0"/>
    <xf numFmtId="166" fontId="7" fillId="0" borderId="0" applyFont="0" applyFill="0" applyBorder="0" applyAlignment="0" applyProtection="0"/>
    <xf numFmtId="166" fontId="3" fillId="0" borderId="0" applyFont="0" applyFill="0" applyBorder="0" applyAlignment="0" applyProtection="0"/>
    <xf numFmtId="164" fontId="7"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4" fillId="24" borderId="15" applyNumberFormat="0" applyAlignment="0" applyProtection="0"/>
    <xf numFmtId="0" fontId="14" fillId="24" borderId="15" applyNumberFormat="0" applyAlignment="0" applyProtection="0"/>
    <xf numFmtId="0" fontId="14" fillId="24" borderId="15" applyNumberFormat="0" applyAlignment="0" applyProtection="0"/>
    <xf numFmtId="0" fontId="15" fillId="25" borderId="16" applyNumberFormat="0" applyAlignment="0" applyProtection="0"/>
    <xf numFmtId="0" fontId="15" fillId="25" borderId="16" applyNumberFormat="0" applyAlignment="0" applyProtection="0"/>
    <xf numFmtId="0" fontId="15" fillId="25" borderId="16" applyNumberFormat="0" applyAlignment="0" applyProtection="0"/>
    <xf numFmtId="166" fontId="8" fillId="0" borderId="0" applyFont="0" applyFill="0" applyBorder="0" applyAlignment="0" applyProtection="0"/>
    <xf numFmtId="166" fontId="7"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4" fontId="8" fillId="0" borderId="0" applyFont="0" applyFill="0" applyBorder="0" applyAlignment="0" applyProtection="0"/>
    <xf numFmtId="166" fontId="7" fillId="0" borderId="0" applyFont="0" applyFill="0" applyBorder="0" applyAlignment="0" applyProtection="0"/>
    <xf numFmtId="43" fontId="3"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8"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8" fillId="0" borderId="17" applyNumberFormat="0" applyFill="0" applyAlignment="0" applyProtection="0"/>
    <xf numFmtId="0" fontId="18" fillId="0" borderId="17" applyNumberFormat="0" applyFill="0" applyAlignment="0" applyProtection="0"/>
    <xf numFmtId="0" fontId="18" fillId="0" borderId="17"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19" fillId="0" borderId="18"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19"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10" borderId="15" applyNumberFormat="0" applyAlignment="0" applyProtection="0"/>
    <xf numFmtId="0" fontId="21" fillId="10" borderId="15" applyNumberFormat="0" applyAlignment="0" applyProtection="0"/>
    <xf numFmtId="0" fontId="21" fillId="10" borderId="15" applyNumberFormat="0" applyAlignment="0" applyProtection="0"/>
    <xf numFmtId="0" fontId="22" fillId="0" borderId="20" applyNumberFormat="0" applyFill="0" applyAlignment="0" applyProtection="0"/>
    <xf numFmtId="0" fontId="22" fillId="0" borderId="20" applyNumberFormat="0" applyFill="0" applyAlignment="0" applyProtection="0"/>
    <xf numFmtId="0" fontId="22" fillId="0" borderId="20" applyNumberFormat="0" applyFill="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8" fillId="0" borderId="0"/>
    <xf numFmtId="0" fontId="3" fillId="0" borderId="0"/>
    <xf numFmtId="0" fontId="3" fillId="0" borderId="0"/>
    <xf numFmtId="0" fontId="3" fillId="0" borderId="0"/>
    <xf numFmtId="0" fontId="8"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27" borderId="21" applyNumberFormat="0" applyAlignment="0" applyProtection="0"/>
    <xf numFmtId="0" fontId="7" fillId="27" borderId="21" applyNumberFormat="0" applyAlignment="0" applyProtection="0"/>
    <xf numFmtId="0" fontId="7" fillId="27" borderId="21" applyNumberFormat="0" applyAlignment="0" applyProtection="0"/>
    <xf numFmtId="0" fontId="24" fillId="24" borderId="22" applyNumberFormat="0" applyAlignment="0" applyProtection="0"/>
    <xf numFmtId="0" fontId="24" fillId="24" borderId="22" applyNumberFormat="0" applyAlignment="0" applyProtection="0"/>
    <xf numFmtId="0" fontId="24" fillId="24" borderId="22"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1" fillId="0" borderId="23" applyNumberFormat="0" applyFill="0" applyAlignment="0" applyProtection="0"/>
    <xf numFmtId="0" fontId="11" fillId="0" borderId="23" applyNumberFormat="0" applyFill="0" applyAlignment="0" applyProtection="0"/>
    <xf numFmtId="0" fontId="11" fillId="0" borderId="23"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41" fillId="0" borderId="0"/>
  </cellStyleXfs>
  <cellXfs count="250">
    <xf numFmtId="0" fontId="0" fillId="0" borderId="0" xfId="0"/>
    <xf numFmtId="0" fontId="0" fillId="0" borderId="0" xfId="0" applyFont="1"/>
    <xf numFmtId="164" fontId="0" fillId="0" borderId="0" xfId="0" applyNumberFormat="1" applyFont="1"/>
    <xf numFmtId="3" fontId="0" fillId="0" borderId="0" xfId="0" applyNumberFormat="1" applyFont="1"/>
    <xf numFmtId="168" fontId="0" fillId="0" borderId="0" xfId="0" applyNumberFormat="1" applyFont="1"/>
    <xf numFmtId="168" fontId="0" fillId="0" borderId="0" xfId="0" applyNumberFormat="1" applyFont="1" applyFill="1" applyBorder="1"/>
    <xf numFmtId="0" fontId="0" fillId="0" borderId="0" xfId="0" applyFont="1" applyFill="1" applyBorder="1"/>
    <xf numFmtId="168" fontId="0" fillId="0" borderId="0" xfId="1" applyNumberFormat="1" applyFont="1"/>
    <xf numFmtId="0" fontId="6" fillId="0" borderId="0" xfId="0" applyFont="1"/>
    <xf numFmtId="168" fontId="3" fillId="0" borderId="1" xfId="1" applyNumberFormat="1" applyFont="1" applyFill="1" applyBorder="1" applyAlignment="1">
      <alignment horizontal="right" wrapText="1"/>
    </xf>
    <xf numFmtId="168" fontId="0" fillId="0" borderId="1" xfId="0" applyNumberFormat="1" applyFont="1" applyBorder="1"/>
    <xf numFmtId="0" fontId="0" fillId="0" borderId="1" xfId="0" applyFont="1" applyFill="1" applyBorder="1"/>
    <xf numFmtId="0" fontId="0" fillId="0" borderId="1" xfId="0" applyFont="1" applyBorder="1"/>
    <xf numFmtId="0" fontId="0" fillId="0" borderId="0" xfId="0" applyFont="1" applyFill="1" applyBorder="1" applyAlignment="1">
      <alignment vertical="top" wrapText="1"/>
    </xf>
    <xf numFmtId="0" fontId="0" fillId="0" borderId="0" xfId="0" applyFont="1" applyBorder="1"/>
    <xf numFmtId="0" fontId="0" fillId="0" borderId="1" xfId="0" applyFont="1" applyFill="1" applyBorder="1" applyAlignment="1">
      <alignment horizontal="center" vertical="center" wrapText="1"/>
    </xf>
    <xf numFmtId="167" fontId="0" fillId="0" borderId="0" xfId="0" applyNumberFormat="1" applyFont="1"/>
    <xf numFmtId="0" fontId="1" fillId="0" borderId="0" xfId="0" applyFont="1"/>
    <xf numFmtId="3" fontId="0" fillId="0" borderId="1" xfId="0" applyNumberFormat="1" applyFont="1" applyFill="1" applyBorder="1" applyAlignment="1">
      <alignment horizontal="right" wrapText="1"/>
    </xf>
    <xf numFmtId="0" fontId="1" fillId="0" borderId="1" xfId="0" applyFont="1" applyFill="1" applyBorder="1" applyAlignment="1">
      <alignment horizontal="left" wrapText="1"/>
    </xf>
    <xf numFmtId="164" fontId="0" fillId="0" borderId="0" xfId="1" applyFont="1"/>
    <xf numFmtId="168" fontId="0" fillId="0" borderId="0" xfId="0" applyNumberFormat="1"/>
    <xf numFmtId="0" fontId="1" fillId="0" borderId="1" xfId="0" applyFont="1" applyFill="1" applyBorder="1" applyAlignment="1">
      <alignment wrapText="1"/>
    </xf>
    <xf numFmtId="0" fontId="0" fillId="0" borderId="0" xfId="0" applyAlignment="1">
      <alignment wrapText="1"/>
    </xf>
    <xf numFmtId="3" fontId="0" fillId="0" borderId="0" xfId="0" applyNumberFormat="1"/>
    <xf numFmtId="0" fontId="1" fillId="3" borderId="4" xfId="0" applyFont="1" applyFill="1" applyBorder="1" applyAlignment="1">
      <alignment vertical="center" wrapText="1"/>
    </xf>
    <xf numFmtId="0" fontId="0" fillId="0" borderId="26" xfId="0" applyBorder="1"/>
    <xf numFmtId="0" fontId="0" fillId="0" borderId="28" xfId="0" applyBorder="1"/>
    <xf numFmtId="0" fontId="0" fillId="0" borderId="30" xfId="0" applyBorder="1"/>
    <xf numFmtId="0" fontId="0" fillId="0" borderId="31" xfId="0" applyBorder="1"/>
    <xf numFmtId="2" fontId="0" fillId="0" borderId="31" xfId="1" applyNumberFormat="1" applyFont="1" applyBorder="1"/>
    <xf numFmtId="164" fontId="0" fillId="0" borderId="28" xfId="1" applyFont="1" applyBorder="1"/>
    <xf numFmtId="0" fontId="1" fillId="0" borderId="0" xfId="0" applyFont="1" applyFill="1" applyBorder="1" applyAlignment="1">
      <alignment vertical="top" wrapText="1"/>
    </xf>
    <xf numFmtId="168" fontId="0" fillId="0" borderId="1" xfId="1" applyNumberFormat="1" applyFont="1" applyFill="1" applyBorder="1" applyAlignment="1">
      <alignment wrapText="1"/>
    </xf>
    <xf numFmtId="168" fontId="0" fillId="0" borderId="5" xfId="1" applyNumberFormat="1" applyFont="1" applyFill="1" applyBorder="1" applyAlignment="1">
      <alignment wrapText="1"/>
    </xf>
    <xf numFmtId="0" fontId="0" fillId="0" borderId="0" xfId="0" applyAlignment="1"/>
    <xf numFmtId="0" fontId="34" fillId="4" borderId="1" xfId="0" applyFont="1" applyFill="1" applyBorder="1"/>
    <xf numFmtId="0" fontId="34" fillId="4" borderId="1" xfId="0" applyFont="1" applyFill="1" applyBorder="1" applyAlignment="1">
      <alignment wrapText="1"/>
    </xf>
    <xf numFmtId="0" fontId="0" fillId="0" borderId="34" xfId="0" applyBorder="1"/>
    <xf numFmtId="0" fontId="0" fillId="0" borderId="26" xfId="0" applyBorder="1" applyAlignment="1">
      <alignment wrapText="1"/>
    </xf>
    <xf numFmtId="164" fontId="0" fillId="0" borderId="26" xfId="1" applyFont="1" applyBorder="1"/>
    <xf numFmtId="2" fontId="0" fillId="0" borderId="26" xfId="1" applyNumberFormat="1" applyFont="1" applyBorder="1"/>
    <xf numFmtId="164" fontId="0" fillId="0" borderId="27" xfId="1" applyFont="1" applyBorder="1"/>
    <xf numFmtId="0" fontId="0" fillId="0" borderId="1" xfId="0" applyFont="1" applyBorder="1" applyAlignment="1">
      <alignment wrapText="1"/>
    </xf>
    <xf numFmtId="0" fontId="0" fillId="0" borderId="33" xfId="0" applyBorder="1"/>
    <xf numFmtId="164" fontId="0" fillId="0" borderId="29" xfId="1" applyFont="1" applyBorder="1"/>
    <xf numFmtId="164" fontId="0" fillId="0" borderId="32" xfId="1" applyFont="1" applyBorder="1"/>
    <xf numFmtId="168" fontId="1" fillId="0" borderId="1" xfId="1" applyNumberFormat="1" applyFont="1" applyFill="1" applyBorder="1" applyAlignment="1">
      <alignment horizontal="right" wrapText="1"/>
    </xf>
    <xf numFmtId="168" fontId="1" fillId="0" borderId="5" xfId="1" applyNumberFormat="1" applyFont="1" applyFill="1" applyBorder="1" applyAlignment="1">
      <alignment wrapText="1"/>
    </xf>
    <xf numFmtId="0" fontId="0" fillId="0" borderId="1" xfId="0" applyFont="1" applyFill="1" applyBorder="1" applyAlignment="1">
      <alignment horizontal="center" wrapText="1"/>
    </xf>
    <xf numFmtId="168" fontId="0" fillId="0" borderId="1" xfId="1" applyNumberFormat="1" applyFont="1" applyFill="1" applyBorder="1" applyAlignment="1">
      <alignment horizontal="right" wrapText="1"/>
    </xf>
    <xf numFmtId="3" fontId="1" fillId="0" borderId="1" xfId="0" applyNumberFormat="1" applyFont="1" applyFill="1" applyBorder="1" applyAlignment="1">
      <alignment horizontal="right" wrapText="1"/>
    </xf>
    <xf numFmtId="0" fontId="2" fillId="0" borderId="9" xfId="0" applyFont="1" applyFill="1" applyBorder="1" applyAlignment="1">
      <alignment wrapText="1"/>
    </xf>
    <xf numFmtId="0" fontId="2" fillId="0" borderId="1" xfId="0" applyFont="1" applyFill="1" applyBorder="1" applyAlignment="1">
      <alignment wrapText="1"/>
    </xf>
    <xf numFmtId="0" fontId="2" fillId="0" borderId="1" xfId="0" applyFont="1" applyFill="1" applyBorder="1" applyAlignment="1">
      <alignment vertical="center" wrapText="1"/>
    </xf>
    <xf numFmtId="0" fontId="1" fillId="0" borderId="1" xfId="0" applyFont="1" applyFill="1" applyBorder="1" applyAlignment="1">
      <alignment horizontal="center" wrapText="1"/>
    </xf>
    <xf numFmtId="0" fontId="1" fillId="0" borderId="5" xfId="0" applyFont="1" applyFill="1" applyBorder="1" applyAlignment="1">
      <alignment wrapText="1"/>
    </xf>
    <xf numFmtId="0" fontId="0" fillId="0" borderId="5" xfId="0" applyFill="1" applyBorder="1" applyAlignment="1">
      <alignment wrapText="1"/>
    </xf>
    <xf numFmtId="0" fontId="1" fillId="0" borderId="1" xfId="0" applyFont="1" applyFill="1" applyBorder="1" applyAlignment="1">
      <alignment horizontal="center" vertical="center" wrapText="1"/>
    </xf>
    <xf numFmtId="0" fontId="1" fillId="0" borderId="8" xfId="0" applyFont="1" applyFill="1" applyBorder="1" applyAlignment="1">
      <alignment horizontal="right" vertical="center" wrapText="1"/>
    </xf>
    <xf numFmtId="0" fontId="1" fillId="0" borderId="8" xfId="0" applyFont="1" applyFill="1" applyBorder="1" applyAlignment="1">
      <alignment horizontal="center" vertical="center" wrapText="1"/>
    </xf>
    <xf numFmtId="3" fontId="1" fillId="0" borderId="8" xfId="0" applyNumberFormat="1" applyFont="1" applyFill="1" applyBorder="1" applyAlignment="1">
      <alignment horizontal="right" vertical="center" wrapText="1"/>
    </xf>
    <xf numFmtId="168" fontId="1" fillId="0" borderId="8" xfId="1" applyNumberFormat="1" applyFont="1" applyFill="1" applyBorder="1" applyAlignment="1">
      <alignment horizontal="right" vertical="center" wrapText="1"/>
    </xf>
    <xf numFmtId="0" fontId="2" fillId="0" borderId="5" xfId="0" applyFont="1" applyFill="1" applyBorder="1" applyAlignment="1"/>
    <xf numFmtId="0" fontId="2" fillId="0" borderId="5" xfId="0" applyFont="1" applyFill="1" applyBorder="1" applyAlignment="1">
      <alignment wrapText="1"/>
    </xf>
    <xf numFmtId="0" fontId="6" fillId="0" borderId="0" xfId="0" applyFont="1" applyBorder="1" applyAlignment="1">
      <alignment horizontal="left"/>
    </xf>
    <xf numFmtId="9" fontId="0" fillId="0" borderId="0" xfId="4" applyFont="1"/>
    <xf numFmtId="0" fontId="0" fillId="0" borderId="0" xfId="0" applyAlignment="1">
      <alignment horizontal="center"/>
    </xf>
    <xf numFmtId="0" fontId="0" fillId="0" borderId="0" xfId="0" applyAlignment="1">
      <alignment horizontal="center" wrapText="1"/>
    </xf>
    <xf numFmtId="168" fontId="0" fillId="31" borderId="0" xfId="1" applyNumberFormat="1" applyFont="1" applyFill="1"/>
    <xf numFmtId="9" fontId="1" fillId="0" borderId="0" xfId="4" applyFont="1"/>
    <xf numFmtId="0" fontId="41" fillId="0" borderId="0" xfId="198"/>
    <xf numFmtId="0" fontId="43" fillId="34" borderId="15" xfId="198" applyFont="1" applyFill="1" applyBorder="1"/>
    <xf numFmtId="0" fontId="43" fillId="34" borderId="15" xfId="198" applyFont="1" applyFill="1" applyBorder="1" applyAlignment="1">
      <alignment wrapText="1"/>
    </xf>
    <xf numFmtId="0" fontId="7" fillId="0" borderId="0" xfId="198" applyFont="1"/>
    <xf numFmtId="0" fontId="7" fillId="0" borderId="0" xfId="198" applyFont="1" applyAlignment="1">
      <alignment horizontal="right"/>
    </xf>
    <xf numFmtId="40" fontId="7" fillId="0" borderId="0" xfId="198" applyNumberFormat="1" applyFont="1" applyAlignment="1">
      <alignment horizontal="right"/>
    </xf>
    <xf numFmtId="169" fontId="7" fillId="0" borderId="0" xfId="198" applyNumberFormat="1" applyFont="1" applyAlignment="1">
      <alignment horizontal="right"/>
    </xf>
    <xf numFmtId="170" fontId="41" fillId="0" borderId="0" xfId="198" applyNumberFormat="1"/>
    <xf numFmtId="40" fontId="41" fillId="0" borderId="0" xfId="198" applyNumberFormat="1"/>
    <xf numFmtId="169" fontId="41" fillId="0" borderId="0" xfId="198" applyNumberFormat="1" applyFont="1" applyAlignment="1">
      <alignment horizontal="right"/>
    </xf>
    <xf numFmtId="40" fontId="41" fillId="0" borderId="0" xfId="198" applyNumberFormat="1" applyFont="1" applyAlignment="1">
      <alignment horizontal="right"/>
    </xf>
    <xf numFmtId="0" fontId="41" fillId="0" borderId="0" xfId="198" applyFont="1" applyAlignment="1">
      <alignment horizontal="right"/>
    </xf>
    <xf numFmtId="0" fontId="41" fillId="0" borderId="0" xfId="198" applyFont="1"/>
    <xf numFmtId="0" fontId="44" fillId="34" borderId="15" xfId="198" applyFont="1" applyFill="1" applyBorder="1" applyAlignment="1">
      <alignment wrapText="1"/>
    </xf>
    <xf numFmtId="0" fontId="44" fillId="34" borderId="15" xfId="198" applyFont="1" applyFill="1" applyBorder="1"/>
    <xf numFmtId="0" fontId="38" fillId="0" borderId="0" xfId="0" applyFont="1" applyFill="1" applyBorder="1" applyAlignment="1">
      <alignment vertical="center" wrapText="1"/>
    </xf>
    <xf numFmtId="3" fontId="40" fillId="0" borderId="0" xfId="0" applyNumberFormat="1" applyFont="1" applyFill="1" applyBorder="1" applyAlignment="1">
      <alignment horizontal="center" vertical="center"/>
    </xf>
    <xf numFmtId="3" fontId="38" fillId="0" borderId="0" xfId="0" applyNumberFormat="1" applyFont="1" applyFill="1" applyBorder="1" applyAlignment="1">
      <alignment horizontal="center" vertical="center"/>
    </xf>
    <xf numFmtId="0" fontId="38" fillId="32" borderId="1" xfId="0" applyFont="1" applyFill="1" applyBorder="1" applyAlignment="1">
      <alignment vertical="center" wrapText="1"/>
    </xf>
    <xf numFmtId="0" fontId="40" fillId="0" borderId="1" xfId="0" applyFont="1" applyBorder="1" applyAlignment="1">
      <alignment vertical="center" wrapText="1"/>
    </xf>
    <xf numFmtId="3" fontId="40" fillId="0" borderId="1" xfId="0" applyNumberFormat="1" applyFont="1" applyBorder="1" applyAlignment="1">
      <alignment horizontal="center" vertical="center"/>
    </xf>
    <xf numFmtId="9" fontId="40" fillId="0" borderId="1" xfId="4" applyFont="1" applyBorder="1" applyAlignment="1">
      <alignment horizontal="center" vertical="center"/>
    </xf>
    <xf numFmtId="0" fontId="40" fillId="0" borderId="1" xfId="0" applyFont="1" applyBorder="1" applyAlignment="1">
      <alignment vertical="center"/>
    </xf>
    <xf numFmtId="0" fontId="38" fillId="33" borderId="1" xfId="0" applyFont="1" applyFill="1" applyBorder="1" applyAlignment="1">
      <alignment vertical="center"/>
    </xf>
    <xf numFmtId="3" fontId="38" fillId="33" borderId="1" xfId="0" applyNumberFormat="1" applyFont="1" applyFill="1" applyBorder="1" applyAlignment="1">
      <alignment horizontal="center" vertical="center"/>
    </xf>
    <xf numFmtId="9" fontId="38" fillId="33" borderId="1" xfId="4" applyFont="1" applyFill="1" applyBorder="1" applyAlignment="1">
      <alignment horizontal="center" vertical="center"/>
    </xf>
    <xf numFmtId="3" fontId="38" fillId="33" borderId="1" xfId="0" applyNumberFormat="1" applyFont="1" applyFill="1" applyBorder="1" applyAlignment="1">
      <alignment horizontal="center"/>
    </xf>
    <xf numFmtId="9" fontId="38" fillId="33" borderId="1" xfId="4" applyFont="1" applyFill="1" applyBorder="1" applyAlignment="1">
      <alignment horizontal="center"/>
    </xf>
    <xf numFmtId="0" fontId="0" fillId="0" borderId="0" xfId="0" applyFont="1" applyAlignment="1">
      <alignment horizontal="left" vertical="top" wrapText="1"/>
    </xf>
    <xf numFmtId="0" fontId="0" fillId="0" borderId="0" xfId="0" applyAlignment="1"/>
    <xf numFmtId="0" fontId="0" fillId="0" borderId="0" xfId="0" applyFont="1" applyAlignment="1"/>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xf numFmtId="0" fontId="1" fillId="0" borderId="5" xfId="0" applyFont="1" applyFill="1" applyBorder="1" applyAlignment="1"/>
    <xf numFmtId="0" fontId="1" fillId="0" borderId="0" xfId="0" applyFont="1" applyFill="1" applyBorder="1" applyAlignment="1">
      <alignment horizontal="left" vertical="top" wrapText="1"/>
    </xf>
    <xf numFmtId="0" fontId="33" fillId="0" borderId="0" xfId="0" applyFont="1"/>
    <xf numFmtId="0" fontId="32" fillId="0" borderId="0" xfId="0" applyFont="1" applyFill="1"/>
    <xf numFmtId="0" fontId="1" fillId="3" borderId="1" xfId="0" applyFont="1" applyFill="1" applyBorder="1" applyAlignment="1">
      <alignment horizontal="left" vertical="center" wrapText="1"/>
    </xf>
    <xf numFmtId="0" fontId="0" fillId="0" borderId="0" xfId="0" applyAlignment="1"/>
    <xf numFmtId="0" fontId="0" fillId="0" borderId="0" xfId="0" applyFont="1" applyAlignment="1">
      <alignment horizontal="left" vertical="top" wrapText="1"/>
    </xf>
    <xf numFmtId="0" fontId="0" fillId="0" borderId="0" xfId="0" applyFont="1" applyAlignment="1"/>
    <xf numFmtId="0" fontId="2" fillId="2" borderId="14" xfId="0" applyFont="1" applyFill="1" applyBorder="1" applyAlignment="1">
      <alignment horizontal="center" vertical="center" wrapText="1"/>
    </xf>
    <xf numFmtId="0" fontId="0" fillId="0" borderId="0" xfId="0" applyFont="1" applyAlignment="1">
      <alignment horizontal="left" vertical="top" wrapText="1"/>
    </xf>
    <xf numFmtId="0" fontId="0" fillId="0" borderId="0" xfId="0" applyAlignment="1"/>
    <xf numFmtId="0" fontId="1" fillId="2" borderId="1" xfId="0" applyFont="1" applyFill="1" applyBorder="1" applyAlignment="1">
      <alignment horizontal="center" vertical="center" wrapText="1"/>
    </xf>
    <xf numFmtId="9" fontId="1" fillId="0" borderId="3" xfId="4" applyFont="1" applyFill="1" applyBorder="1" applyAlignment="1">
      <alignment horizontal="right" wrapText="1"/>
    </xf>
    <xf numFmtId="3" fontId="0" fillId="0" borderId="3" xfId="0" applyNumberFormat="1" applyFont="1" applyFill="1" applyBorder="1" applyAlignment="1">
      <alignment horizontal="right" vertical="center" wrapText="1"/>
    </xf>
    <xf numFmtId="9" fontId="1" fillId="0" borderId="35" xfId="4" applyFont="1" applyFill="1" applyBorder="1" applyAlignment="1">
      <alignment horizontal="right" vertical="center" wrapText="1"/>
    </xf>
    <xf numFmtId="167" fontId="0" fillId="3" borderId="1" xfId="0" applyNumberFormat="1" applyFont="1" applyFill="1" applyBorder="1" applyAlignment="1">
      <alignment horizontal="right" wrapText="1"/>
    </xf>
    <xf numFmtId="3" fontId="0" fillId="29" borderId="1" xfId="0" applyNumberFormat="1" applyFont="1" applyFill="1" applyBorder="1" applyAlignment="1">
      <alignment horizontal="right" wrapText="1"/>
    </xf>
    <xf numFmtId="168" fontId="3" fillId="29" borderId="1" xfId="1" applyNumberFormat="1" applyFont="1" applyFill="1" applyBorder="1" applyAlignment="1">
      <alignment horizontal="right" wrapText="1"/>
    </xf>
    <xf numFmtId="168" fontId="0" fillId="29" borderId="1" xfId="1" applyNumberFormat="1" applyFont="1" applyFill="1" applyBorder="1" applyAlignment="1">
      <alignment horizontal="right" wrapText="1"/>
    </xf>
    <xf numFmtId="164" fontId="0" fillId="29" borderId="1" xfId="1" applyFont="1" applyFill="1" applyBorder="1" applyAlignment="1">
      <alignment horizontal="right" wrapText="1"/>
    </xf>
    <xf numFmtId="3" fontId="1" fillId="29" borderId="1" xfId="0" applyNumberFormat="1" applyFont="1" applyFill="1" applyBorder="1" applyAlignment="1">
      <alignment horizontal="right" wrapText="1"/>
    </xf>
    <xf numFmtId="168" fontId="1" fillId="29" borderId="1" xfId="1" applyNumberFormat="1" applyFont="1" applyFill="1" applyBorder="1" applyAlignment="1">
      <alignment horizontal="right" wrapText="1"/>
    </xf>
    <xf numFmtId="168" fontId="0" fillId="29" borderId="1" xfId="1" applyNumberFormat="1" applyFont="1" applyFill="1" applyBorder="1" applyAlignment="1">
      <alignment horizontal="right" vertical="center" wrapText="1"/>
    </xf>
    <xf numFmtId="168" fontId="0" fillId="29" borderId="5" xfId="1" applyNumberFormat="1" applyFont="1" applyFill="1" applyBorder="1" applyAlignment="1">
      <alignment wrapText="1"/>
    </xf>
    <xf numFmtId="167" fontId="0" fillId="29" borderId="1" xfId="0" applyNumberFormat="1" applyFont="1" applyFill="1" applyBorder="1" applyAlignment="1">
      <alignment horizontal="right" wrapText="1"/>
    </xf>
    <xf numFmtId="167" fontId="29" fillId="29" borderId="1" xfId="0" applyNumberFormat="1" applyFont="1" applyFill="1" applyBorder="1" applyAlignment="1">
      <alignment horizontal="right" wrapText="1"/>
    </xf>
    <xf numFmtId="167" fontId="0" fillId="29" borderId="1" xfId="0" applyNumberFormat="1" applyFont="1" applyFill="1" applyBorder="1" applyAlignment="1">
      <alignment horizontal="right" vertical="center" wrapText="1"/>
    </xf>
    <xf numFmtId="167" fontId="0" fillId="29" borderId="8" xfId="0" applyNumberFormat="1" applyFont="1" applyFill="1" applyBorder="1" applyAlignment="1">
      <alignment horizontal="right" vertical="center" wrapText="1"/>
    </xf>
    <xf numFmtId="3" fontId="1" fillId="29" borderId="5" xfId="0" applyNumberFormat="1" applyFont="1" applyFill="1" applyBorder="1" applyAlignment="1">
      <alignment horizontal="right" wrapText="1"/>
    </xf>
    <xf numFmtId="168" fontId="1" fillId="29" borderId="5" xfId="1" applyNumberFormat="1" applyFont="1" applyFill="1" applyBorder="1" applyAlignment="1">
      <alignment horizontal="right" wrapText="1"/>
    </xf>
    <xf numFmtId="168" fontId="1" fillId="29" borderId="8" xfId="1" applyNumberFormat="1" applyFont="1" applyFill="1" applyBorder="1" applyAlignment="1">
      <alignment horizontal="right" vertical="center" wrapText="1"/>
    </xf>
    <xf numFmtId="0" fontId="1"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35" borderId="1" xfId="0" applyFont="1" applyFill="1" applyBorder="1" applyAlignment="1">
      <alignment vertical="top" wrapText="1"/>
    </xf>
    <xf numFmtId="0" fontId="0" fillId="35" borderId="1" xfId="0" applyFont="1" applyFill="1" applyBorder="1" applyAlignment="1">
      <alignment horizontal="left" vertical="center" wrapText="1"/>
    </xf>
    <xf numFmtId="0" fontId="0" fillId="35" borderId="1" xfId="0" applyFont="1" applyFill="1" applyBorder="1" applyAlignment="1">
      <alignment vertical="top" wrapText="1"/>
    </xf>
    <xf numFmtId="168" fontId="0" fillId="35" borderId="1" xfId="0" applyNumberFormat="1" applyFont="1" applyFill="1" applyBorder="1" applyAlignment="1">
      <alignment vertical="top" wrapText="1"/>
    </xf>
    <xf numFmtId="0" fontId="0" fillId="35" borderId="1" xfId="0" applyFont="1" applyFill="1" applyBorder="1"/>
    <xf numFmtId="0" fontId="1" fillId="0" borderId="0" xfId="0" applyFont="1" applyAlignment="1">
      <alignment horizontal="left" vertical="top" wrapText="1"/>
    </xf>
    <xf numFmtId="0" fontId="1" fillId="0" borderId="0" xfId="0" applyFont="1" applyAlignment="1"/>
    <xf numFmtId="0" fontId="1" fillId="0" borderId="1" xfId="0" applyFont="1" applyFill="1" applyBorder="1" applyAlignment="1">
      <alignment horizontal="right" wrapText="1"/>
    </xf>
    <xf numFmtId="168" fontId="1" fillId="0" borderId="1" xfId="1" applyNumberFormat="1" applyFont="1" applyFill="1" applyBorder="1" applyAlignment="1">
      <alignment wrapText="1"/>
    </xf>
    <xf numFmtId="168" fontId="0" fillId="0" borderId="1" xfId="1" applyNumberFormat="1" applyFont="1" applyBorder="1"/>
    <xf numFmtId="168" fontId="1" fillId="0" borderId="1" xfId="1" applyNumberFormat="1" applyFont="1" applyBorder="1"/>
    <xf numFmtId="168" fontId="1" fillId="0" borderId="1" xfId="0" applyNumberFormat="1" applyFont="1" applyFill="1" applyBorder="1" applyAlignment="1">
      <alignment wrapText="1"/>
    </xf>
    <xf numFmtId="3" fontId="1" fillId="0" borderId="1" xfId="0" applyNumberFormat="1" applyFont="1" applyBorder="1"/>
    <xf numFmtId="168" fontId="1" fillId="0" borderId="1" xfId="1" applyNumberFormat="1" applyFont="1" applyBorder="1" applyAlignment="1"/>
    <xf numFmtId="0" fontId="1" fillId="0" borderId="1" xfId="0" applyFont="1" applyBorder="1"/>
    <xf numFmtId="168" fontId="0" fillId="0" borderId="1" xfId="1" applyNumberFormat="1" applyFont="1" applyBorder="1" applyAlignment="1"/>
    <xf numFmtId="168" fontId="0" fillId="0" borderId="1" xfId="1" applyNumberFormat="1" applyFont="1" applyFill="1" applyBorder="1" applyAlignment="1"/>
    <xf numFmtId="168" fontId="1" fillId="0" borderId="1" xfId="0" applyNumberFormat="1" applyFont="1" applyBorder="1"/>
    <xf numFmtId="3" fontId="1" fillId="0" borderId="8" xfId="0" applyNumberFormat="1" applyFont="1" applyBorder="1"/>
    <xf numFmtId="0" fontId="1" fillId="36" borderId="1" xfId="0" applyFont="1" applyFill="1" applyBorder="1" applyAlignment="1">
      <alignment wrapText="1"/>
    </xf>
    <xf numFmtId="0" fontId="49" fillId="28" borderId="1" xfId="0" applyFont="1" applyFill="1" applyBorder="1" applyAlignment="1">
      <alignment horizontal="left" wrapText="1"/>
    </xf>
    <xf numFmtId="9" fontId="1" fillId="28" borderId="1" xfId="4" applyFont="1" applyFill="1" applyBorder="1" applyAlignment="1">
      <alignment horizontal="center"/>
    </xf>
    <xf numFmtId="9" fontId="1" fillId="28" borderId="1" xfId="4" applyNumberFormat="1" applyFont="1" applyFill="1" applyBorder="1" applyAlignment="1">
      <alignment horizontal="center"/>
    </xf>
    <xf numFmtId="9" fontId="1" fillId="0" borderId="1" xfId="4" applyNumberFormat="1" applyFont="1" applyFill="1" applyBorder="1" applyAlignment="1">
      <alignment horizontal="center"/>
    </xf>
    <xf numFmtId="0" fontId="1" fillId="28" borderId="1" xfId="0" applyFont="1" applyFill="1" applyBorder="1" applyAlignment="1">
      <alignment horizontal="left"/>
    </xf>
    <xf numFmtId="0" fontId="6" fillId="0" borderId="1" xfId="0" applyFont="1" applyBorder="1"/>
    <xf numFmtId="9" fontId="1" fillId="0" borderId="1" xfId="4" applyNumberFormat="1" applyFont="1" applyBorder="1" applyAlignment="1">
      <alignment horizontal="center"/>
    </xf>
    <xf numFmtId="168" fontId="0" fillId="29" borderId="1" xfId="0" applyNumberFormat="1" applyFill="1" applyBorder="1"/>
    <xf numFmtId="3" fontId="0" fillId="29" borderId="1" xfId="0" applyNumberFormat="1" applyFont="1" applyFill="1" applyBorder="1"/>
    <xf numFmtId="168" fontId="0" fillId="29" borderId="1" xfId="1" applyNumberFormat="1" applyFont="1" applyFill="1" applyBorder="1"/>
    <xf numFmtId="168" fontId="3" fillId="29" borderId="1" xfId="1" applyNumberFormat="1" applyFont="1" applyFill="1" applyBorder="1" applyAlignment="1"/>
    <xf numFmtId="168" fontId="0" fillId="29" borderId="1" xfId="0" applyNumberFormat="1" applyFont="1" applyFill="1" applyBorder="1" applyAlignment="1">
      <alignment wrapText="1"/>
    </xf>
    <xf numFmtId="3" fontId="0" fillId="29" borderId="1" xfId="0" applyNumberFormat="1" applyFont="1" applyFill="1" applyBorder="1" applyAlignment="1">
      <alignment wrapText="1"/>
    </xf>
    <xf numFmtId="168" fontId="3" fillId="29" borderId="1" xfId="1" applyNumberFormat="1" applyFont="1" applyFill="1" applyBorder="1" applyAlignment="1">
      <alignment wrapText="1"/>
    </xf>
    <xf numFmtId="168" fontId="1" fillId="29" borderId="1" xfId="1" applyNumberFormat="1" applyFont="1" applyFill="1" applyBorder="1" applyAlignment="1">
      <alignment horizontal="left" vertical="top" wrapText="1"/>
    </xf>
    <xf numFmtId="168" fontId="0" fillId="29" borderId="1" xfId="1" applyNumberFormat="1" applyFont="1" applyFill="1" applyBorder="1" applyAlignment="1">
      <alignment wrapText="1"/>
    </xf>
    <xf numFmtId="168" fontId="0" fillId="29" borderId="1" xfId="1" applyNumberFormat="1" applyFont="1" applyFill="1" applyBorder="1" applyAlignment="1"/>
    <xf numFmtId="0" fontId="0" fillId="29" borderId="1" xfId="0" applyFont="1" applyFill="1" applyBorder="1"/>
    <xf numFmtId="168" fontId="0" fillId="29" borderId="1" xfId="0" applyNumberFormat="1" applyFont="1" applyFill="1" applyBorder="1"/>
    <xf numFmtId="168" fontId="1" fillId="29" borderId="1" xfId="1" applyNumberFormat="1" applyFont="1" applyFill="1" applyBorder="1"/>
    <xf numFmtId="0" fontId="1" fillId="29" borderId="1" xfId="0" applyFont="1" applyFill="1" applyBorder="1"/>
    <xf numFmtId="0" fontId="0" fillId="0" borderId="1" xfId="0" applyBorder="1"/>
    <xf numFmtId="168" fontId="0" fillId="29" borderId="1" xfId="0" applyNumberFormat="1" applyFont="1" applyFill="1" applyBorder="1" applyAlignment="1">
      <alignment vertical="top" wrapText="1"/>
    </xf>
    <xf numFmtId="0" fontId="1" fillId="0" borderId="1" xfId="0" applyFont="1" applyFill="1" applyBorder="1"/>
    <xf numFmtId="0" fontId="6" fillId="30" borderId="7" xfId="0" applyFont="1" applyFill="1" applyBorder="1" applyAlignment="1">
      <alignment horizontal="center"/>
    </xf>
    <xf numFmtId="0" fontId="6" fillId="30" borderId="13" xfId="0" applyFont="1" applyFill="1" applyBorder="1" applyAlignment="1">
      <alignment horizontal="center"/>
    </xf>
    <xf numFmtId="0" fontId="6" fillId="30" borderId="6" xfId="0" applyFont="1" applyFill="1" applyBorder="1" applyAlignment="1">
      <alignment horizontal="center"/>
    </xf>
    <xf numFmtId="0" fontId="6" fillId="30" borderId="11" xfId="0" applyFont="1" applyFill="1" applyBorder="1" applyAlignment="1">
      <alignment horizontal="center"/>
    </xf>
    <xf numFmtId="0" fontId="6" fillId="30" borderId="12" xfId="0" applyFont="1" applyFill="1" applyBorder="1" applyAlignment="1">
      <alignment horizontal="center"/>
    </xf>
    <xf numFmtId="0" fontId="6" fillId="30" borderId="24" xfId="0" applyFont="1" applyFill="1" applyBorder="1" applyAlignment="1">
      <alignment horizontal="center"/>
    </xf>
    <xf numFmtId="0" fontId="28" fillId="0" borderId="0" xfId="0" applyFont="1" applyBorder="1" applyAlignment="1">
      <alignment horizontal="justify" vertical="center" wrapText="1"/>
    </xf>
    <xf numFmtId="0" fontId="0" fillId="0" borderId="0" xfId="0" applyFont="1" applyBorder="1" applyAlignment="1"/>
    <xf numFmtId="0" fontId="0" fillId="0" borderId="0" xfId="0" applyFont="1" applyAlignment="1">
      <alignment horizontal="left" vertical="top" wrapText="1"/>
    </xf>
    <xf numFmtId="0" fontId="0" fillId="0" borderId="0" xfId="0" applyAlignment="1">
      <alignment horizontal="center"/>
    </xf>
    <xf numFmtId="0" fontId="50" fillId="0" borderId="0" xfId="0" applyFont="1" applyAlignment="1">
      <alignment horizontal="left" wrapText="1"/>
    </xf>
    <xf numFmtId="0" fontId="1" fillId="2" borderId="1" xfId="0" applyFont="1" applyFill="1" applyBorder="1" applyAlignment="1">
      <alignment horizontal="center" vertical="center" wrapText="1"/>
    </xf>
    <xf numFmtId="0" fontId="1" fillId="28"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6" borderId="1" xfId="0" applyFont="1" applyFill="1" applyBorder="1" applyAlignment="1">
      <alignment horizontal="left" wrapText="1"/>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28" borderId="5" xfId="0" applyFont="1" applyFill="1" applyBorder="1" applyAlignment="1">
      <alignment horizontal="center" vertical="center" wrapText="1"/>
    </xf>
    <xf numFmtId="0" fontId="1" fillId="28" borderId="14" xfId="0" applyFont="1" applyFill="1" applyBorder="1" applyAlignment="1">
      <alignment horizontal="center" vertical="center" wrapText="1"/>
    </xf>
    <xf numFmtId="0" fontId="1" fillId="28" borderId="9" xfId="0" applyFont="1" applyFill="1" applyBorder="1" applyAlignment="1">
      <alignment horizontal="center" vertical="center" wrapText="1"/>
    </xf>
    <xf numFmtId="0" fontId="1" fillId="28" borderId="3" xfId="0" applyFont="1" applyFill="1" applyBorder="1" applyAlignment="1">
      <alignment horizontal="center" wrapText="1"/>
    </xf>
    <xf numFmtId="0" fontId="1" fillId="28" borderId="4" xfId="0" applyFont="1" applyFill="1" applyBorder="1" applyAlignment="1">
      <alignment horizontal="center"/>
    </xf>
    <xf numFmtId="0" fontId="1" fillId="28" borderId="2" xfId="0" applyFont="1" applyFill="1" applyBorder="1" applyAlignment="1">
      <alignment horizontal="center"/>
    </xf>
    <xf numFmtId="0" fontId="1" fillId="28" borderId="5" xfId="0" applyFont="1" applyFill="1" applyBorder="1" applyAlignment="1">
      <alignment horizontal="center" wrapText="1"/>
    </xf>
    <xf numFmtId="0" fontId="1" fillId="28" borderId="14" xfId="0" applyFont="1" applyFill="1" applyBorder="1" applyAlignment="1">
      <alignment horizontal="center" wrapText="1"/>
    </xf>
    <xf numFmtId="0" fontId="1" fillId="28" borderId="9" xfId="0" applyFont="1" applyFill="1" applyBorder="1" applyAlignment="1">
      <alignment horizontal="center" wrapText="1"/>
    </xf>
    <xf numFmtId="0" fontId="6" fillId="28" borderId="7" xfId="0" applyFont="1" applyFill="1" applyBorder="1" applyAlignment="1">
      <alignment horizontal="center" vertical="center" wrapText="1"/>
    </xf>
    <xf numFmtId="0" fontId="6" fillId="28" borderId="10" xfId="0" applyFont="1" applyFill="1" applyBorder="1" applyAlignment="1">
      <alignment horizontal="center" vertical="center" wrapText="1"/>
    </xf>
    <xf numFmtId="0" fontId="6" fillId="28" borderId="11" xfId="0" applyFont="1" applyFill="1" applyBorder="1" applyAlignment="1">
      <alignment horizontal="center" vertical="center" wrapText="1"/>
    </xf>
    <xf numFmtId="0" fontId="1" fillId="28" borderId="6" xfId="0" applyFont="1" applyFill="1" applyBorder="1" applyAlignment="1">
      <alignment horizontal="center" vertical="center" wrapText="1"/>
    </xf>
    <xf numFmtId="0" fontId="1" fillId="28" borderId="25" xfId="0" applyFont="1" applyFill="1" applyBorder="1" applyAlignment="1">
      <alignment horizontal="center" vertical="center" wrapText="1"/>
    </xf>
    <xf numFmtId="0" fontId="1" fillId="28" borderId="24" xfId="0" applyFont="1" applyFill="1" applyBorder="1" applyAlignment="1">
      <alignment horizontal="center" vertical="center" wrapText="1"/>
    </xf>
    <xf numFmtId="0" fontId="1" fillId="28" borderId="3" xfId="0" applyFont="1" applyFill="1" applyBorder="1" applyAlignment="1">
      <alignment horizontal="center"/>
    </xf>
    <xf numFmtId="0" fontId="32" fillId="0" borderId="0" xfId="0" applyFont="1" applyFill="1" applyAlignment="1">
      <alignment horizontal="left" wrapText="1"/>
    </xf>
    <xf numFmtId="0" fontId="1" fillId="0" borderId="5" xfId="0" applyFont="1" applyFill="1" applyBorder="1" applyAlignment="1">
      <alignment horizontal="left" wrapText="1"/>
    </xf>
    <xf numFmtId="0" fontId="1" fillId="0" borderId="9" xfId="0" applyFont="1" applyFill="1" applyBorder="1" applyAlignment="1">
      <alignment horizontal="left" wrapText="1"/>
    </xf>
    <xf numFmtId="0" fontId="0" fillId="0" borderId="5" xfId="0" applyFill="1" applyBorder="1" applyAlignment="1">
      <alignment horizontal="left" wrapText="1"/>
    </xf>
    <xf numFmtId="0" fontId="0" fillId="0" borderId="9" xfId="0"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0" borderId="1" xfId="0" applyFont="1" applyFill="1" applyBorder="1" applyAlignment="1"/>
    <xf numFmtId="0" fontId="1" fillId="0" borderId="5" xfId="0" applyFont="1" applyFill="1" applyBorder="1" applyAlignment="1"/>
    <xf numFmtId="0" fontId="1" fillId="0" borderId="14" xfId="0" applyFont="1" applyFill="1" applyBorder="1" applyAlignment="1"/>
    <xf numFmtId="0" fontId="1" fillId="0" borderId="9" xfId="0" applyFont="1" applyFill="1" applyBorder="1" applyAlignment="1"/>
    <xf numFmtId="0" fontId="1" fillId="0" borderId="5"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9" xfId="0" applyFont="1" applyFill="1" applyBorder="1" applyAlignment="1">
      <alignment horizontal="left" vertical="center" wrapText="1"/>
    </xf>
    <xf numFmtId="0" fontId="0" fillId="0" borderId="0" xfId="0" applyFont="1" applyAlignment="1">
      <alignment horizontal="left"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 fillId="3" borderId="3" xfId="0" applyFont="1" applyFill="1" applyBorder="1" applyAlignment="1">
      <alignment horizontal="left" wrapText="1"/>
    </xf>
    <xf numFmtId="0" fontId="2" fillId="3" borderId="4" xfId="0" applyFont="1" applyFill="1" applyBorder="1" applyAlignment="1">
      <alignment horizontal="left" wrapText="1"/>
    </xf>
    <xf numFmtId="0" fontId="38" fillId="32" borderId="5" xfId="0" applyFont="1" applyFill="1" applyBorder="1" applyAlignment="1">
      <alignment horizontal="left" vertical="center" wrapText="1"/>
    </xf>
    <xf numFmtId="0" fontId="38" fillId="32" borderId="9" xfId="0" applyFont="1" applyFill="1" applyBorder="1" applyAlignment="1">
      <alignment horizontal="left" vertical="center" wrapText="1"/>
    </xf>
    <xf numFmtId="0" fontId="38" fillId="32" borderId="1" xfId="0" applyFont="1" applyFill="1" applyBorder="1" applyAlignment="1">
      <alignment horizontal="center" vertical="center" wrapText="1"/>
    </xf>
    <xf numFmtId="0" fontId="42" fillId="0" borderId="0" xfId="198" applyFont="1"/>
    <xf numFmtId="0" fontId="41" fillId="0" borderId="0" xfId="198"/>
    <xf numFmtId="0" fontId="45" fillId="0" borderId="0" xfId="198" applyFont="1"/>
  </cellXfs>
  <cellStyles count="199">
    <cellStyle name="20% - Accent1 2" xfId="49"/>
    <cellStyle name="20% - Accent1 3" xfId="50"/>
    <cellStyle name="20% - Accent1 4" xfId="51"/>
    <cellStyle name="20% - Accent2 2" xfId="52"/>
    <cellStyle name="20% - Accent2 3" xfId="53"/>
    <cellStyle name="20% - Accent2 4" xfId="54"/>
    <cellStyle name="20% - Accent3 2" xfId="55"/>
    <cellStyle name="20% - Accent3 3" xfId="56"/>
    <cellStyle name="20% - Accent3 4" xfId="57"/>
    <cellStyle name="20% - Accent4 2" xfId="58"/>
    <cellStyle name="20% - Accent4 3" xfId="59"/>
    <cellStyle name="20% - Accent4 4" xfId="60"/>
    <cellStyle name="20% - Accent5 2" xfId="61"/>
    <cellStyle name="20% - Accent5 3" xfId="62"/>
    <cellStyle name="20% - Accent5 4" xfId="63"/>
    <cellStyle name="20% - Accent6 2" xfId="64"/>
    <cellStyle name="20% - Accent6 3" xfId="65"/>
    <cellStyle name="20% - Accent6 4" xfId="66"/>
    <cellStyle name="40% - Accent1 2" xfId="67"/>
    <cellStyle name="40% - Accent1 3" xfId="68"/>
    <cellStyle name="40% - Accent1 4" xfId="69"/>
    <cellStyle name="40% - Accent2 2" xfId="70"/>
    <cellStyle name="40% - Accent2 3" xfId="71"/>
    <cellStyle name="40% - Accent2 4" xfId="72"/>
    <cellStyle name="40% - Accent3 2" xfId="73"/>
    <cellStyle name="40% - Accent3 3" xfId="74"/>
    <cellStyle name="40% - Accent3 4" xfId="75"/>
    <cellStyle name="40% - Accent4 2" xfId="76"/>
    <cellStyle name="40% - Accent4 3" xfId="77"/>
    <cellStyle name="40% - Accent4 4" xfId="78"/>
    <cellStyle name="40% - Accent5 2" xfId="79"/>
    <cellStyle name="40% - Accent5 3" xfId="80"/>
    <cellStyle name="40% - Accent5 4" xfId="81"/>
    <cellStyle name="40% - Accent6 2" xfId="82"/>
    <cellStyle name="40% - Accent6 3" xfId="83"/>
    <cellStyle name="40% - Accent6 4" xfId="84"/>
    <cellStyle name="60% - Accent1 2" xfId="85"/>
    <cellStyle name="60% - Accent1 3" xfId="86"/>
    <cellStyle name="60% - Accent1 4" xfId="87"/>
    <cellStyle name="60% - Accent2 2" xfId="88"/>
    <cellStyle name="60% - Accent2 3" xfId="89"/>
    <cellStyle name="60% - Accent2 4" xfId="90"/>
    <cellStyle name="60% - Accent3 2" xfId="91"/>
    <cellStyle name="60% - Accent3 3" xfId="92"/>
    <cellStyle name="60% - Accent3 4" xfId="93"/>
    <cellStyle name="60% - Accent4 2" xfId="94"/>
    <cellStyle name="60% - Accent4 3" xfId="95"/>
    <cellStyle name="60% - Accent4 4" xfId="96"/>
    <cellStyle name="60% - Accent5 2" xfId="97"/>
    <cellStyle name="60% - Accent5 3" xfId="98"/>
    <cellStyle name="60% - Accent5 4" xfId="99"/>
    <cellStyle name="60% - Accent6 2" xfId="100"/>
    <cellStyle name="60% - Accent6 3" xfId="101"/>
    <cellStyle name="60% - Accent6 4" xfId="102"/>
    <cellStyle name="Accent1 2" xfId="103"/>
    <cellStyle name="Accent1 3" xfId="104"/>
    <cellStyle name="Accent1 4" xfId="105"/>
    <cellStyle name="Accent2 2" xfId="106"/>
    <cellStyle name="Accent2 3" xfId="107"/>
    <cellStyle name="Accent2 4" xfId="108"/>
    <cellStyle name="Accent3 2" xfId="109"/>
    <cellStyle name="Accent3 3" xfId="110"/>
    <cellStyle name="Accent3 4" xfId="111"/>
    <cellStyle name="Accent4 2" xfId="112"/>
    <cellStyle name="Accent4 3" xfId="113"/>
    <cellStyle name="Accent4 4" xfId="114"/>
    <cellStyle name="Accent5 2" xfId="115"/>
    <cellStyle name="Accent5 3" xfId="116"/>
    <cellStyle name="Accent5 4" xfId="117"/>
    <cellStyle name="Accent6 2" xfId="118"/>
    <cellStyle name="Accent6 3" xfId="119"/>
    <cellStyle name="Accent6 4" xfId="120"/>
    <cellStyle name="Bad 2" xfId="121"/>
    <cellStyle name="Bad 3" xfId="122"/>
    <cellStyle name="Bad 4" xfId="123"/>
    <cellStyle name="Calculation 2" xfId="124"/>
    <cellStyle name="Calculation 3" xfId="125"/>
    <cellStyle name="Calculation 4" xfId="126"/>
    <cellStyle name="Check Cell 2" xfId="127"/>
    <cellStyle name="Check Cell 3" xfId="128"/>
    <cellStyle name="Check Cell 4" xfId="129"/>
    <cellStyle name="Comma" xfId="1" builtinId="3"/>
    <cellStyle name="Comma 2" xfId="6"/>
    <cellStyle name="Comma 2 2" xfId="7"/>
    <cellStyle name="Comma 2 2 2" xfId="8"/>
    <cellStyle name="Comma 2 2 3" xfId="9"/>
    <cellStyle name="Comma 2 2 3 2" xfId="10"/>
    <cellStyle name="Comma 2 2 3 2 2" xfId="11"/>
    <cellStyle name="Comma 2 2 3 2 2 2" xfId="47"/>
    <cellStyle name="Comma 2 2 3 2 3" xfId="12"/>
    <cellStyle name="Comma 2 2 3 2 3 2" xfId="130"/>
    <cellStyle name="Comma 2 2 3 2 4" xfId="13"/>
    <cellStyle name="Comma 2 2 4" xfId="14"/>
    <cellStyle name="Comma 2 2 5" xfId="15"/>
    <cellStyle name="Comma 2 3" xfId="16"/>
    <cellStyle name="Comma 2 4" xfId="17"/>
    <cellStyle name="Comma 2 4 2" xfId="18"/>
    <cellStyle name="Comma 2 4 2 2" xfId="19"/>
    <cellStyle name="Comma 2 4 3" xfId="131"/>
    <cellStyle name="Comma 2 5" xfId="20"/>
    <cellStyle name="Comma 2 6" xfId="21"/>
    <cellStyle name="Comma 2 7" xfId="46"/>
    <cellStyle name="Comma 3" xfId="22"/>
    <cellStyle name="Comma 3 2" xfId="132"/>
    <cellStyle name="Comma 3 2 2" xfId="133"/>
    <cellStyle name="Comma 3 3" xfId="134"/>
    <cellStyle name="Comma 4" xfId="23"/>
    <cellStyle name="Comma 4 2" xfId="135"/>
    <cellStyle name="Comma 5" xfId="48"/>
    <cellStyle name="Comma 6" xfId="136"/>
    <cellStyle name="Comma 7" xfId="137"/>
    <cellStyle name="Comma 8" xfId="138"/>
    <cellStyle name="Comma 9" xfId="139"/>
    <cellStyle name="Currency 2" xfId="24"/>
    <cellStyle name="Explanatory Text 2" xfId="140"/>
    <cellStyle name="Explanatory Text 3" xfId="141"/>
    <cellStyle name="Explanatory Text 4" xfId="142"/>
    <cellStyle name="Good 2" xfId="143"/>
    <cellStyle name="Good 3" xfId="144"/>
    <cellStyle name="Good 4" xfId="145"/>
    <cellStyle name="Heading 1 2" xfId="146"/>
    <cellStyle name="Heading 1 3" xfId="147"/>
    <cellStyle name="Heading 1 4" xfId="148"/>
    <cellStyle name="Heading 2 2" xfId="149"/>
    <cellStyle name="Heading 2 3" xfId="150"/>
    <cellStyle name="Heading 2 4" xfId="151"/>
    <cellStyle name="Heading 3 2" xfId="152"/>
    <cellStyle name="Heading 3 3" xfId="153"/>
    <cellStyle name="Heading 3 4" xfId="154"/>
    <cellStyle name="Heading 4 2" xfId="155"/>
    <cellStyle name="Heading 4 3" xfId="156"/>
    <cellStyle name="Heading 4 4" xfId="157"/>
    <cellStyle name="Input 2" xfId="158"/>
    <cellStyle name="Input 3" xfId="159"/>
    <cellStyle name="Input 4" xfId="160"/>
    <cellStyle name="Linked Cell 2" xfId="161"/>
    <cellStyle name="Linked Cell 3" xfId="162"/>
    <cellStyle name="Linked Cell 4" xfId="163"/>
    <cellStyle name="Neutral 2" xfId="164"/>
    <cellStyle name="Neutral 3" xfId="165"/>
    <cellStyle name="Neutral 4" xfId="166"/>
    <cellStyle name="Normal" xfId="0" builtinId="0"/>
    <cellStyle name="Normal 10" xfId="167"/>
    <cellStyle name="Normal 11" xfId="198"/>
    <cellStyle name="Normal 2" xfId="2"/>
    <cellStyle name="Normal 3" xfId="3"/>
    <cellStyle name="Normal 3 2" xfId="25"/>
    <cellStyle name="Normal 3 2 2" xfId="26"/>
    <cellStyle name="Normal 3 2 2 2" xfId="168"/>
    <cellStyle name="Normal 3 2 2 3" xfId="169"/>
    <cellStyle name="Normal 3 2 3" xfId="27"/>
    <cellStyle name="Normal 3 2 3 2" xfId="28"/>
    <cellStyle name="Normal 3 2 3 2 2" xfId="29"/>
    <cellStyle name="Normal 3 2 3 2 3" xfId="30"/>
    <cellStyle name="Normal 3 2 3 2 3 2" xfId="170"/>
    <cellStyle name="Normal 3 2 3 2 4" xfId="31"/>
    <cellStyle name="Normal 3 2 3 2 4 2" xfId="171"/>
    <cellStyle name="Normal 3 2 3 2 5" xfId="32"/>
    <cellStyle name="Normal 3 2 3 2 6" xfId="45"/>
    <cellStyle name="Normal 3 2 4" xfId="33"/>
    <cellStyle name="Normal 3 2 5" xfId="34"/>
    <cellStyle name="Normal 3 3" xfId="35"/>
    <cellStyle name="Normal 3 4" xfId="36"/>
    <cellStyle name="Normal 3 4 2" xfId="37"/>
    <cellStyle name="Normal 3 4 2 2" xfId="38"/>
    <cellStyle name="Normal 3 4 3" xfId="172"/>
    <cellStyle name="Normal 3 5" xfId="39"/>
    <cellStyle name="Normal 3 6" xfId="40"/>
    <cellStyle name="Normal 4" xfId="5"/>
    <cellStyle name="Normal 5" xfId="44"/>
    <cellStyle name="Normal 6" xfId="173"/>
    <cellStyle name="Normal 7" xfId="174"/>
    <cellStyle name="Normal 8" xfId="175"/>
    <cellStyle name="Normal 8 2" xfId="176"/>
    <cellStyle name="Normal 9" xfId="177"/>
    <cellStyle name="Note 2" xfId="178"/>
    <cellStyle name="Note 3" xfId="179"/>
    <cellStyle name="Note 4" xfId="180"/>
    <cellStyle name="Output 2" xfId="181"/>
    <cellStyle name="Output 3" xfId="182"/>
    <cellStyle name="Output 4" xfId="183"/>
    <cellStyle name="Percent" xfId="4" builtinId="5"/>
    <cellStyle name="Percent 2" xfId="41"/>
    <cellStyle name="Percent 2 2" xfId="184"/>
    <cellStyle name="Percent 3" xfId="42"/>
    <cellStyle name="Percent 3 2" xfId="185"/>
    <cellStyle name="Percent 4" xfId="186"/>
    <cellStyle name="Percent 5" xfId="187"/>
    <cellStyle name="Percent 6" xfId="188"/>
    <cellStyle name="Style 1" xfId="43"/>
    <cellStyle name="Title 2" xfId="189"/>
    <cellStyle name="Title 3" xfId="190"/>
    <cellStyle name="Title 4" xfId="191"/>
    <cellStyle name="Total 2" xfId="192"/>
    <cellStyle name="Total 3" xfId="193"/>
    <cellStyle name="Total 4" xfId="194"/>
    <cellStyle name="Warning Text 2" xfId="195"/>
    <cellStyle name="Warning Text 3" xfId="196"/>
    <cellStyle name="Warning Text 4" xfId="197"/>
  </cellStyles>
  <dxfs count="0"/>
  <tableStyles count="0" defaultTableStyle="TableStyleMedium2" defaultPivotStyle="PivotStyleLight16"/>
  <colors>
    <mruColors>
      <color rgb="FF00682F"/>
      <color rgb="FF808080"/>
      <color rgb="FF001A0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kwu\AppData\Local\Microsoft\Windows\Temporary%20Internet%20Files\Content.Outlook\7VBWMSPU\Project%20Tracker%20and%20ABB-as%2017%20September%202012-%20Resubmission%20to%20Secretari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Ikwu\Local%20Settings\Temporary%20Internet%20Files\Content.Outlook\Z4MMVV1Y\Allocations%20%25%20per%20work%20area%2015%2012%202010%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1\kahirof\LOCALS~1\Temp\notes01C2EC\~16927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kwu\AppData\Local\Microsoft\Windows\Temporary%20Internet%20Files\Content.Outlook\898WLNCX\Project%20Tracker%20and%20ABB-Jan-%20June%202014-%201%20September%202014%20WITH%20UNRECORDED%20COMMITME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kwu\Documents\2013-2014%20UN-REDD%20PROGRAMME%20WORK%20PLAN%20AND%20BUDGET\October\FINAL%20Consolidated%20UN-REDD%20Programme%20SNA-GP%20Results%20Framework%20Work%20Plan%20and%20Budget%20121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kwu\Documents\UN-REDD%20SEMI%20AND%20ANNUAL%20REPORTS\2014%20Annual%20Report\May\SNA%20Financial%20Report%20for%20Jan%20-%2031Dec%202014%20incl%20commitments%200705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LOBAL%20PROGRAMME/Support%20to%20National%20REDD+%20Action%20-2015%20Budget%20Revision/Consolidated%20work%20plan%20and%20Budget%202015/Final_SNA_Consolidated_Workplan%20%20Budget%20_2015_%20112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itional Expenditures"/>
      <sheetName val="Budget and Expenditure Summary"/>
      <sheetName val="Staff Costs-Commitments"/>
      <sheetName val="Staff Costs-Disbursements"/>
      <sheetName val="Activities GP "/>
      <sheetName val="Expenditures by Outcome"/>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1 chart"/>
      <sheetName val="Global Programme 1"/>
      <sheetName val="GP1 data"/>
      <sheetName val="5 y framework"/>
      <sheetName val="Secretariat"/>
      <sheetName val="Sheet4"/>
      <sheetName val="Sheet1"/>
      <sheetName val="GP1_chart"/>
      <sheetName val="Global_Programme_1"/>
      <sheetName val="GP1_data"/>
      <sheetName val="5_y_framework"/>
    </sheetNames>
    <sheetDataSet>
      <sheetData sheetId="0" refreshError="1"/>
      <sheetData sheetId="1" refreshError="1"/>
      <sheetData sheetId="2">
        <row r="10">
          <cell r="F10">
            <v>6782705.3120833328</v>
          </cell>
        </row>
      </sheetData>
      <sheetData sheetId="3"/>
      <sheetData sheetId="4"/>
      <sheetData sheetId="5"/>
      <sheetData sheetId="6"/>
      <sheetData sheetId="7"/>
      <sheetData sheetId="8"/>
      <sheetData sheetId="9">
        <row r="10">
          <cell r="F10">
            <v>6782705.3120833328</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1"/>
      <sheetName val="exp6F3E"/>
    </sheetNames>
    <sheetDataSet>
      <sheetData sheetId="0"/>
      <sheetData sheetId="1">
        <row r="1">
          <cell r="A1" t="str">
            <v>Doc_id</v>
          </cell>
          <cell r="B1" t="str">
            <v>Traveller_id</v>
          </cell>
          <cell r="C1" t="str">
            <v>currency</v>
          </cell>
          <cell r="D1" t="str">
            <v>oblig_amt</v>
          </cell>
          <cell r="E1" t="str">
            <v>Traveller_name</v>
          </cell>
          <cell r="F1" t="str">
            <v>Traveller_type</v>
          </cell>
          <cell r="G1" t="str">
            <v>Travel_type</v>
          </cell>
          <cell r="H1" t="str">
            <v>Travel_purpose</v>
          </cell>
          <cell r="I1" t="str">
            <v>Amend_no</v>
          </cell>
          <cell r="J1" t="str">
            <v>Status_travel</v>
          </cell>
          <cell r="K1" t="str">
            <v>Status_ship</v>
          </cell>
          <cell r="L1" t="str">
            <v>Doc_create_date</v>
          </cell>
          <cell r="M1" t="str">
            <v>Doc_approve_date</v>
          </cell>
        </row>
        <row r="2">
          <cell r="A2">
            <v>115607</v>
          </cell>
          <cell r="B2" t="str">
            <v>784337</v>
          </cell>
          <cell r="C2" t="str">
            <v>USD</v>
          </cell>
          <cell r="D2">
            <v>0</v>
          </cell>
          <cell r="E2" t="str">
            <v>Khayalu, Hendrica</v>
          </cell>
          <cell r="F2" t="str">
            <v>Staff Member</v>
          </cell>
          <cell r="G2" t="str">
            <v>Official Business</v>
          </cell>
          <cell r="H2" t="str">
            <v>To attemd the UN-REDD Validation Mission in Abuja from 15 to 16 Feb 2011 and 21 to 22 Feb 2011 as well as the stakekeholders forum in Calabar, Nigeria from 17 to 19 Feb 2011.</v>
          </cell>
          <cell r="I2">
            <v>0</v>
          </cell>
          <cell r="J2" t="str">
            <v>Unapproved</v>
          </cell>
          <cell r="K2" t="str">
            <v>Unapproved</v>
          </cell>
          <cell r="L2" t="str">
            <v>11/02/2011</v>
          </cell>
          <cell r="M2" t="str">
            <v/>
          </cell>
        </row>
        <row r="3">
          <cell r="A3">
            <v>108246</v>
          </cell>
          <cell r="B3" t="str">
            <v>47933</v>
          </cell>
          <cell r="C3" t="str">
            <v>USD</v>
          </cell>
          <cell r="D3">
            <v>152</v>
          </cell>
          <cell r="E3" t="str">
            <v>Hagelberg, Niklas</v>
          </cell>
          <cell r="F3" t="str">
            <v>Staff Member</v>
          </cell>
          <cell r="G3" t="str">
            <v>Official Business</v>
          </cell>
          <cell r="H3" t="str">
            <v>To participate in the PCMG meeting in Dar-es-Salaam, Tanzania on 1 October 2010.</v>
          </cell>
          <cell r="I3">
            <v>0</v>
          </cell>
          <cell r="J3" t="str">
            <v>Approved</v>
          </cell>
          <cell r="K3" t="str">
            <v>Unapproved</v>
          </cell>
          <cell r="L3" t="str">
            <v>28/09/2010</v>
          </cell>
          <cell r="M3" t="str">
            <v>29/09/2010</v>
          </cell>
        </row>
        <row r="4">
          <cell r="A4">
            <v>108246</v>
          </cell>
          <cell r="B4" t="str">
            <v>47933</v>
          </cell>
          <cell r="C4" t="str">
            <v>USD</v>
          </cell>
          <cell r="D4">
            <v>172</v>
          </cell>
          <cell r="E4" t="str">
            <v>Hagelberg, Niklas</v>
          </cell>
          <cell r="F4" t="str">
            <v>Staff Member</v>
          </cell>
          <cell r="G4" t="str">
            <v>Official Business</v>
          </cell>
          <cell r="H4" t="str">
            <v>To participate in the PCMG meeting in Dar-es-Salaam, Tanzania on 1 October 2010.</v>
          </cell>
          <cell r="I4">
            <v>0</v>
          </cell>
          <cell r="J4" t="str">
            <v>Approved</v>
          </cell>
          <cell r="K4" t="str">
            <v>Unapproved</v>
          </cell>
          <cell r="L4" t="str">
            <v>28/09/2010</v>
          </cell>
          <cell r="M4" t="str">
            <v>29/09/2010</v>
          </cell>
        </row>
        <row r="5">
          <cell r="A5">
            <v>108246</v>
          </cell>
          <cell r="B5" t="str">
            <v>47933</v>
          </cell>
          <cell r="C5" t="str">
            <v>USD</v>
          </cell>
          <cell r="D5">
            <v>488.1</v>
          </cell>
          <cell r="E5" t="str">
            <v>Hagelberg, Niklas</v>
          </cell>
          <cell r="F5" t="str">
            <v>Staff Member</v>
          </cell>
          <cell r="G5" t="str">
            <v>Official Business</v>
          </cell>
          <cell r="H5" t="str">
            <v>To participate in the PCMG meeting in Dar-es-Salaam, Tanzania on 1 October 2010.</v>
          </cell>
          <cell r="I5">
            <v>0</v>
          </cell>
          <cell r="J5" t="str">
            <v>Approved</v>
          </cell>
          <cell r="K5" t="str">
            <v>Unapproved</v>
          </cell>
          <cell r="L5" t="str">
            <v>28/09/2010</v>
          </cell>
          <cell r="M5" t="str">
            <v>29/09/2010</v>
          </cell>
        </row>
        <row r="6">
          <cell r="A6">
            <v>109259</v>
          </cell>
          <cell r="B6" t="str">
            <v>47933</v>
          </cell>
          <cell r="C6" t="str">
            <v>USD</v>
          </cell>
          <cell r="D6">
            <v>152</v>
          </cell>
          <cell r="E6" t="str">
            <v>Hagelberg, Niklas</v>
          </cell>
          <cell r="F6" t="str">
            <v>Staff Member</v>
          </cell>
          <cell r="G6" t="str">
            <v>Official Business</v>
          </cell>
          <cell r="H6" t="str">
            <v>To participate in the CBD-COP 10 meeting in Nagoya, Japan from 18 to 26 October 2010.</v>
          </cell>
          <cell r="I6">
            <v>0</v>
          </cell>
          <cell r="J6" t="str">
            <v>Approved</v>
          </cell>
          <cell r="K6" t="str">
            <v>Unapproved</v>
          </cell>
          <cell r="L6" t="str">
            <v>13/10/2010</v>
          </cell>
          <cell r="M6" t="str">
            <v>14/10/2010</v>
          </cell>
        </row>
        <row r="7">
          <cell r="A7">
            <v>109259</v>
          </cell>
          <cell r="B7" t="str">
            <v>47933</v>
          </cell>
          <cell r="C7" t="str">
            <v>USD</v>
          </cell>
          <cell r="D7">
            <v>2805</v>
          </cell>
          <cell r="E7" t="str">
            <v>Hagelberg, Niklas</v>
          </cell>
          <cell r="F7" t="str">
            <v>Staff Member</v>
          </cell>
          <cell r="G7" t="str">
            <v>Official Business</v>
          </cell>
          <cell r="H7" t="str">
            <v>To participate in the CBD-COP 10 meeting in Nagoya, Japan from 18 to 26 October 2010.</v>
          </cell>
          <cell r="I7">
            <v>0</v>
          </cell>
          <cell r="J7" t="str">
            <v>Approved</v>
          </cell>
          <cell r="K7" t="str">
            <v>Unapproved</v>
          </cell>
          <cell r="L7" t="str">
            <v>13/10/2010</v>
          </cell>
          <cell r="M7" t="str">
            <v>14/10/2010</v>
          </cell>
        </row>
        <row r="8">
          <cell r="A8">
            <v>109259</v>
          </cell>
          <cell r="B8" t="str">
            <v>47933</v>
          </cell>
          <cell r="C8" t="str">
            <v>USD</v>
          </cell>
          <cell r="D8">
            <v>4425.8599999999997</v>
          </cell>
          <cell r="E8" t="str">
            <v>Hagelberg, Niklas</v>
          </cell>
          <cell r="F8" t="str">
            <v>Staff Member</v>
          </cell>
          <cell r="G8" t="str">
            <v>Official Business</v>
          </cell>
          <cell r="H8" t="str">
            <v>To participate in the CBD-COP 10 meeting in Nagoya, Japan from 18 to 26 October 2010.</v>
          </cell>
          <cell r="I8">
            <v>0</v>
          </cell>
          <cell r="J8" t="str">
            <v>Approved</v>
          </cell>
          <cell r="K8" t="str">
            <v>Unapproved</v>
          </cell>
          <cell r="L8" t="str">
            <v>13/10/2010</v>
          </cell>
          <cell r="M8" t="str">
            <v>14/10/2010</v>
          </cell>
        </row>
        <row r="9">
          <cell r="A9">
            <v>110467</v>
          </cell>
          <cell r="B9" t="str">
            <v>820576</v>
          </cell>
          <cell r="C9" t="str">
            <v>USD</v>
          </cell>
          <cell r="D9">
            <v>152</v>
          </cell>
          <cell r="E9" t="str">
            <v>KASTEN, Timothy</v>
          </cell>
          <cell r="F9" t="str">
            <v>Staff Member</v>
          </cell>
          <cell r="G9" t="str">
            <v>Official Business</v>
          </cell>
          <cell r="H9" t="str">
            <v>Prep mtg of UNREDD policy board 2/11; UNREDD Coord Group mtg 3/11; 5th UNREDD Policy Board mtg 4-5/11; Joint mtg of governing bodies of Forest investment prog 6/ll in Washington DC,USA.S/m departs on 31/10 due to flight connections.</v>
          </cell>
          <cell r="I9">
            <v>0</v>
          </cell>
          <cell r="J9" t="str">
            <v>Approved</v>
          </cell>
          <cell r="K9" t="str">
            <v>Unapproved</v>
          </cell>
          <cell r="L9" t="str">
            <v>27/10/2010</v>
          </cell>
          <cell r="M9" t="str">
            <v>29/10/2010</v>
          </cell>
        </row>
        <row r="10">
          <cell r="A10">
            <v>110467</v>
          </cell>
          <cell r="B10" t="str">
            <v>820576</v>
          </cell>
          <cell r="C10" t="str">
            <v>USD</v>
          </cell>
          <cell r="D10">
            <v>2904</v>
          </cell>
          <cell r="E10" t="str">
            <v>KASTEN, Timothy</v>
          </cell>
          <cell r="F10" t="str">
            <v>Staff Member</v>
          </cell>
          <cell r="G10" t="str">
            <v>Official Business</v>
          </cell>
          <cell r="H10" t="str">
            <v>Prep mtg of UNREDD policy board 2/11; UNREDD Coord Group mtg 3/11; 5th UNREDD Policy Board mtg 4-5/11; Joint mtg of governing bodies of Forest investment prog 6/ll in Washington DC,USA.S/m departs on 31/10 due to flight connections.</v>
          </cell>
          <cell r="I10">
            <v>0</v>
          </cell>
          <cell r="J10" t="str">
            <v>Approved</v>
          </cell>
          <cell r="K10" t="str">
            <v>Unapproved</v>
          </cell>
          <cell r="L10" t="str">
            <v>27/10/2010</v>
          </cell>
          <cell r="M10" t="str">
            <v>29/10/2010</v>
          </cell>
        </row>
        <row r="11">
          <cell r="A11">
            <v>110467</v>
          </cell>
          <cell r="B11" t="str">
            <v>820576</v>
          </cell>
          <cell r="C11" t="str">
            <v>USD</v>
          </cell>
          <cell r="D11">
            <v>5392.9</v>
          </cell>
          <cell r="E11" t="str">
            <v>KASTEN, Timothy</v>
          </cell>
          <cell r="F11" t="str">
            <v>Staff Member</v>
          </cell>
          <cell r="G11" t="str">
            <v>Official Business</v>
          </cell>
          <cell r="H11" t="str">
            <v>Prep mtg of UNREDD policy board 2/11; UNREDD Coord Group mtg 3/11; 5th UNREDD Policy Board mtg 4-5/11; Joint mtg of governing bodies of Forest investment prog 6/ll in Washington DC,USA.S/m departs on 31/10 due to flight connections.</v>
          </cell>
          <cell r="I11">
            <v>0</v>
          </cell>
          <cell r="J11" t="str">
            <v>Approved</v>
          </cell>
          <cell r="K11" t="str">
            <v>Unapproved</v>
          </cell>
          <cell r="L11" t="str">
            <v>27/10/2010</v>
          </cell>
          <cell r="M11" t="str">
            <v>29/10/2010</v>
          </cell>
        </row>
        <row r="12">
          <cell r="A12">
            <v>114563</v>
          </cell>
          <cell r="B12" t="str">
            <v>965764</v>
          </cell>
          <cell r="C12" t="str">
            <v>USD</v>
          </cell>
          <cell r="D12">
            <v>152</v>
          </cell>
          <cell r="E12" t="str">
            <v>Martino, Diego</v>
          </cell>
          <cell r="F12" t="str">
            <v>Staff Member</v>
          </cell>
          <cell r="G12" t="str">
            <v>Official Business</v>
          </cell>
          <cell r="H12" t="str">
            <v>To participate in the UNEP REDD+ Planning meeting to be held in Nairobi from 26 to 28 January 2011. UNDP Uruguay to be authorized to issue ticket since it is cheaper from their end.</v>
          </cell>
          <cell r="I12">
            <v>0</v>
          </cell>
          <cell r="J12" t="str">
            <v>Approved</v>
          </cell>
          <cell r="K12" t="str">
            <v>Unapproved</v>
          </cell>
          <cell r="L12" t="str">
            <v>19/01/2011</v>
          </cell>
          <cell r="M12" t="str">
            <v>19/01/2011</v>
          </cell>
        </row>
        <row r="13">
          <cell r="A13">
            <v>114563</v>
          </cell>
          <cell r="B13" t="str">
            <v>965764</v>
          </cell>
          <cell r="C13" t="str">
            <v>USD</v>
          </cell>
          <cell r="D13">
            <v>1686</v>
          </cell>
          <cell r="E13" t="str">
            <v>Martino, Diego</v>
          </cell>
          <cell r="F13" t="str">
            <v>Staff Member</v>
          </cell>
          <cell r="G13" t="str">
            <v>Official Business</v>
          </cell>
          <cell r="H13" t="str">
            <v>To participate in the UNEP REDD+ Planning meeting to be held in Nairobi from 26 to 28 January 2011. UNDP Uruguay to be authorized to issue ticket since it is cheaper from their end.</v>
          </cell>
          <cell r="I13">
            <v>0</v>
          </cell>
          <cell r="J13" t="str">
            <v>Approved</v>
          </cell>
          <cell r="K13" t="str">
            <v>Unapproved</v>
          </cell>
          <cell r="L13" t="str">
            <v>19/01/2011</v>
          </cell>
          <cell r="M13" t="str">
            <v>19/01/2011</v>
          </cell>
        </row>
        <row r="14">
          <cell r="A14">
            <v>114563</v>
          </cell>
          <cell r="B14" t="str">
            <v>965764</v>
          </cell>
          <cell r="C14" t="str">
            <v>USD</v>
          </cell>
          <cell r="D14">
            <v>6726</v>
          </cell>
          <cell r="E14" t="str">
            <v>Martino, Diego</v>
          </cell>
          <cell r="F14" t="str">
            <v>Staff Member</v>
          </cell>
          <cell r="G14" t="str">
            <v>Official Business</v>
          </cell>
          <cell r="H14" t="str">
            <v>To participate in the UNEP REDD+ Planning meeting to be held in Nairobi from 26 to 28 January 2011. UNDP Uruguay to be authorized to issue ticket since it is cheaper from their end.</v>
          </cell>
          <cell r="I14">
            <v>0</v>
          </cell>
          <cell r="J14" t="str">
            <v>Approved</v>
          </cell>
          <cell r="K14" t="str">
            <v>Unapproved</v>
          </cell>
          <cell r="L14" t="str">
            <v>19/01/2011</v>
          </cell>
          <cell r="M14" t="str">
            <v>19/01/2011</v>
          </cell>
        </row>
        <row r="15">
          <cell r="A15">
            <v>114690</v>
          </cell>
          <cell r="B15" t="str">
            <v>405301</v>
          </cell>
          <cell r="C15" t="str">
            <v>USD</v>
          </cell>
          <cell r="D15">
            <v>152</v>
          </cell>
          <cell r="E15" t="str">
            <v>Labbate, Gabriel</v>
          </cell>
          <cell r="F15" t="str">
            <v>Staff Member</v>
          </cell>
          <cell r="G15" t="str">
            <v>Official Business</v>
          </cell>
          <cell r="H15" t="str">
            <v>NAIROBI. 23/01/11-29/01/11. PARTICIPATE IN REDD GLOBAL STAFF MEETING. FULL DSA COVERED BY UN-RED INCLUDING PLANE TICKET.</v>
          </cell>
          <cell r="I15">
            <v>0</v>
          </cell>
          <cell r="J15" t="str">
            <v>Approved</v>
          </cell>
          <cell r="K15" t="str">
            <v>Unapproved</v>
          </cell>
          <cell r="L15" t="str">
            <v>20/01/2011</v>
          </cell>
          <cell r="M15" t="str">
            <v>21/01/2011</v>
          </cell>
        </row>
        <row r="16">
          <cell r="A16">
            <v>114690</v>
          </cell>
          <cell r="B16" t="str">
            <v>405301</v>
          </cell>
          <cell r="C16" t="str">
            <v>USD</v>
          </cell>
          <cell r="D16">
            <v>1686</v>
          </cell>
          <cell r="E16" t="str">
            <v>Labbate, Gabriel</v>
          </cell>
          <cell r="F16" t="str">
            <v>Staff Member</v>
          </cell>
          <cell r="G16" t="str">
            <v>Official Business</v>
          </cell>
          <cell r="H16" t="str">
            <v>NAIROBI. 23/01/11-29/01/11. PARTICIPATE IN REDD GLOBAL STAFF MEETING. FULL DSA COVERED BY UN-RED INCLUDING PLANE TICKET.</v>
          </cell>
          <cell r="I16">
            <v>0</v>
          </cell>
          <cell r="J16" t="str">
            <v>Approved</v>
          </cell>
          <cell r="K16" t="str">
            <v>Unapproved</v>
          </cell>
          <cell r="L16" t="str">
            <v>20/01/2011</v>
          </cell>
          <cell r="M16" t="str">
            <v>21/01/2011</v>
          </cell>
        </row>
        <row r="17">
          <cell r="A17">
            <v>114690</v>
          </cell>
          <cell r="B17" t="str">
            <v>405301</v>
          </cell>
          <cell r="C17" t="str">
            <v>USD</v>
          </cell>
          <cell r="D17">
            <v>6801</v>
          </cell>
          <cell r="E17" t="str">
            <v>Labbate, Gabriel</v>
          </cell>
          <cell r="F17" t="str">
            <v>Staff Member</v>
          </cell>
          <cell r="G17" t="str">
            <v>Official Business</v>
          </cell>
          <cell r="H17" t="str">
            <v>NAIROBI. 23/01/11-29/01/11. PARTICIPATE IN REDD GLOBAL STAFF MEETING. FULL DSA COVERED BY UN-RED INCLUDING PLANE TICKET.</v>
          </cell>
          <cell r="I17">
            <v>0</v>
          </cell>
          <cell r="J17" t="str">
            <v>Approved</v>
          </cell>
          <cell r="K17" t="str">
            <v>Unapproved</v>
          </cell>
          <cell r="L17" t="str">
            <v>20/01/2011</v>
          </cell>
          <cell r="M17" t="str">
            <v>21/01/2011</v>
          </cell>
        </row>
        <row r="18">
          <cell r="A18">
            <v>115403</v>
          </cell>
          <cell r="B18" t="str">
            <v>965764</v>
          </cell>
          <cell r="C18" t="str">
            <v>USD</v>
          </cell>
          <cell r="D18">
            <v>25</v>
          </cell>
          <cell r="E18" t="str">
            <v>Martino, Diego</v>
          </cell>
          <cell r="F18" t="str">
            <v>Staff Member</v>
          </cell>
          <cell r="G18" t="str">
            <v>Official Business</v>
          </cell>
          <cell r="H18" t="str">
            <v>PARAGUAY. 07/02/11-11/02/11. PARTICIPATE IN UNREDD JOINT MISSION TO INCORPORATE COMMENTS TO NSP AND WORK ON PROJECT BUDGET. full dsa</v>
          </cell>
          <cell r="I18">
            <v>1</v>
          </cell>
          <cell r="J18" t="str">
            <v>Approved</v>
          </cell>
          <cell r="K18" t="str">
            <v>Unapproved</v>
          </cell>
          <cell r="L18" t="str">
            <v>07/02/2011</v>
          </cell>
          <cell r="M18" t="str">
            <v>17/05/2011</v>
          </cell>
        </row>
        <row r="19">
          <cell r="A19">
            <v>115403</v>
          </cell>
          <cell r="B19" t="str">
            <v>965764</v>
          </cell>
          <cell r="C19" t="str">
            <v>USD</v>
          </cell>
          <cell r="D19">
            <v>152</v>
          </cell>
          <cell r="E19" t="str">
            <v>Martino, Diego</v>
          </cell>
          <cell r="F19" t="str">
            <v>Staff Member</v>
          </cell>
          <cell r="G19" t="str">
            <v>Official Business</v>
          </cell>
          <cell r="H19" t="str">
            <v>PARAGUAY. 07/02/11-11/02/11. PARTICIPATE IN UNREDD JOINT MISSION TO INCORPORATE COMMENTS TO NSP AND WORK ON PROJECT BUDGET. full dsa</v>
          </cell>
          <cell r="I19">
            <v>1</v>
          </cell>
          <cell r="J19" t="str">
            <v>Approved</v>
          </cell>
          <cell r="K19" t="str">
            <v>Unapproved</v>
          </cell>
          <cell r="L19" t="str">
            <v>07/02/2011</v>
          </cell>
          <cell r="M19" t="str">
            <v>17/05/2011</v>
          </cell>
        </row>
        <row r="20">
          <cell r="A20">
            <v>115403</v>
          </cell>
          <cell r="B20" t="str">
            <v>965764</v>
          </cell>
          <cell r="C20" t="str">
            <v>USD</v>
          </cell>
          <cell r="D20">
            <v>355</v>
          </cell>
          <cell r="E20" t="str">
            <v>Martino, Diego</v>
          </cell>
          <cell r="F20" t="str">
            <v>Staff Member</v>
          </cell>
          <cell r="G20" t="str">
            <v>Official Business</v>
          </cell>
          <cell r="H20" t="str">
            <v>PARAGUAY. 07/02/11-11/02/11. PARTICIPATE IN UNREDD JOINT MISSION TO INCORPORATE COMMENTS TO NSP AND WORK ON PROJECT BUDGET. full dsa</v>
          </cell>
          <cell r="I20">
            <v>1</v>
          </cell>
          <cell r="J20" t="str">
            <v>Approved</v>
          </cell>
          <cell r="K20" t="str">
            <v>Unapproved</v>
          </cell>
          <cell r="L20" t="str">
            <v>07/02/2011</v>
          </cell>
          <cell r="M20" t="str">
            <v>17/05/2011</v>
          </cell>
        </row>
        <row r="21">
          <cell r="A21">
            <v>115403</v>
          </cell>
          <cell r="B21" t="str">
            <v>965764</v>
          </cell>
          <cell r="C21" t="str">
            <v>USD</v>
          </cell>
          <cell r="D21">
            <v>804</v>
          </cell>
          <cell r="E21" t="str">
            <v>Martino, Diego</v>
          </cell>
          <cell r="F21" t="str">
            <v>Staff Member</v>
          </cell>
          <cell r="G21" t="str">
            <v>Official Business</v>
          </cell>
          <cell r="H21" t="str">
            <v>PARAGUAY. 07/02/11-11/02/11. PARTICIPATE IN UNREDD JOINT MISSION TO INCORPORATE COMMENTS TO NSP AND WORK ON PROJECT BUDGET. full dsa</v>
          </cell>
          <cell r="I21">
            <v>1</v>
          </cell>
          <cell r="J21" t="str">
            <v>Approved</v>
          </cell>
          <cell r="K21" t="str">
            <v>Unapproved</v>
          </cell>
          <cell r="L21" t="str">
            <v>07/02/2011</v>
          </cell>
          <cell r="M21" t="str">
            <v>17/05/2011</v>
          </cell>
        </row>
        <row r="22">
          <cell r="A22">
            <v>115608</v>
          </cell>
          <cell r="B22" t="str">
            <v>326804</v>
          </cell>
          <cell r="C22" t="str">
            <v>USD</v>
          </cell>
          <cell r="D22">
            <v>152</v>
          </cell>
          <cell r="E22" t="str">
            <v>Greenwalt, Julie</v>
          </cell>
          <cell r="F22" t="str">
            <v>Staff Member</v>
          </cell>
          <cell r="G22" t="str">
            <v>Official Business</v>
          </cell>
          <cell r="H22" t="str">
            <v>To attemd the UN-REDD Validation Mission in Abuja from 15 to 16 Feb 2011 and 21 to 22 Feb 2011 as well as the stakekeholders forum in Calabar, Nigeria from 17 to 19 Feb 2011. BCD to issue ticket.</v>
          </cell>
          <cell r="I22">
            <v>1</v>
          </cell>
          <cell r="J22" t="str">
            <v>Approved</v>
          </cell>
          <cell r="K22" t="str">
            <v>Unapproved</v>
          </cell>
          <cell r="L22" t="str">
            <v>11/02/2011</v>
          </cell>
          <cell r="M22" t="str">
            <v>04/05/2011</v>
          </cell>
        </row>
        <row r="23">
          <cell r="A23">
            <v>115608</v>
          </cell>
          <cell r="B23" t="str">
            <v>326804</v>
          </cell>
          <cell r="C23" t="str">
            <v>USD</v>
          </cell>
          <cell r="D23">
            <v>263</v>
          </cell>
          <cell r="E23" t="str">
            <v>Greenwalt, Julie</v>
          </cell>
          <cell r="F23" t="str">
            <v>Staff Member</v>
          </cell>
          <cell r="G23" t="str">
            <v>Official Business</v>
          </cell>
          <cell r="H23" t="str">
            <v>To attemd the UN-REDD Validation Mission in Abuja from 15 to 16 Feb 2011 and 21 to 22 Feb 2011 as well as the stakekeholders forum in Calabar, Nigeria from 17 to 19 Feb 2011. BCD to issue ticket.</v>
          </cell>
          <cell r="I23">
            <v>1</v>
          </cell>
          <cell r="J23" t="str">
            <v>Approved</v>
          </cell>
          <cell r="K23" t="str">
            <v>Unapproved</v>
          </cell>
          <cell r="L23" t="str">
            <v>11/02/2011</v>
          </cell>
          <cell r="M23" t="str">
            <v>04/05/2011</v>
          </cell>
        </row>
        <row r="24">
          <cell r="A24">
            <v>115608</v>
          </cell>
          <cell r="B24" t="str">
            <v>326804</v>
          </cell>
          <cell r="C24" t="str">
            <v>USD</v>
          </cell>
          <cell r="D24">
            <v>513</v>
          </cell>
          <cell r="E24" t="str">
            <v>Greenwalt, Julie</v>
          </cell>
          <cell r="F24" t="str">
            <v>Staff Member</v>
          </cell>
          <cell r="G24" t="str">
            <v>Official Business</v>
          </cell>
          <cell r="H24" t="str">
            <v>To attemd the UN-REDD Validation Mission in Abuja from 15 to 16 Feb 2011 and 21 to 22 Feb 2011 as well as the stakekeholders forum in Calabar, Nigeria from 17 to 19 Feb 2011. BCD to issue ticket.</v>
          </cell>
          <cell r="I24">
            <v>1</v>
          </cell>
          <cell r="J24" t="str">
            <v>Approved</v>
          </cell>
          <cell r="K24" t="str">
            <v>Unapproved</v>
          </cell>
          <cell r="L24" t="str">
            <v>11/02/2011</v>
          </cell>
          <cell r="M24" t="str">
            <v>04/05/2011</v>
          </cell>
        </row>
        <row r="25">
          <cell r="A25">
            <v>115608</v>
          </cell>
          <cell r="B25" t="str">
            <v>326804</v>
          </cell>
          <cell r="C25" t="str">
            <v>USD</v>
          </cell>
          <cell r="D25">
            <v>864</v>
          </cell>
          <cell r="E25" t="str">
            <v>Greenwalt, Julie</v>
          </cell>
          <cell r="F25" t="str">
            <v>Staff Member</v>
          </cell>
          <cell r="G25" t="str">
            <v>Official Business</v>
          </cell>
          <cell r="H25" t="str">
            <v>To attemd the UN-REDD Validation Mission in Abuja from 15 to 16 Feb 2011 and 21 to 22 Feb 2011 as well as the stakekeholders forum in Calabar, Nigeria from 17 to 19 Feb 2011. BCD to issue ticket.</v>
          </cell>
          <cell r="I25">
            <v>1</v>
          </cell>
          <cell r="J25" t="str">
            <v>Approved</v>
          </cell>
          <cell r="K25" t="str">
            <v>Unapproved</v>
          </cell>
          <cell r="L25" t="str">
            <v>11/02/2011</v>
          </cell>
          <cell r="M25" t="str">
            <v>04/05/2011</v>
          </cell>
        </row>
        <row r="26">
          <cell r="A26">
            <v>115608</v>
          </cell>
          <cell r="B26" t="str">
            <v>326804</v>
          </cell>
          <cell r="C26" t="str">
            <v>USD</v>
          </cell>
          <cell r="D26">
            <v>1345.96</v>
          </cell>
          <cell r="E26" t="str">
            <v>Greenwalt, Julie</v>
          </cell>
          <cell r="F26" t="str">
            <v>Staff Member</v>
          </cell>
          <cell r="G26" t="str">
            <v>Official Business</v>
          </cell>
          <cell r="H26" t="str">
            <v>To attemd the UN-REDD Validation Mission in Abuja from 15 to 16 Feb 2011 and 21 to 22 Feb 2011 as well as the stakekeholders forum in Calabar, Nigeria from 17 to 19 Feb 2011. BCD to issue ticket.</v>
          </cell>
          <cell r="I26">
            <v>1</v>
          </cell>
          <cell r="J26" t="str">
            <v>Approved</v>
          </cell>
          <cell r="K26" t="str">
            <v>Unapproved</v>
          </cell>
          <cell r="L26" t="str">
            <v>11/02/2011</v>
          </cell>
          <cell r="M26" t="str">
            <v>04/05/2011</v>
          </cell>
        </row>
        <row r="27">
          <cell r="A27">
            <v>115904</v>
          </cell>
          <cell r="B27" t="str">
            <v>263516</v>
          </cell>
          <cell r="C27" t="str">
            <v>USD</v>
          </cell>
          <cell r="D27">
            <v>0</v>
          </cell>
          <cell r="E27" t="str">
            <v>Sachedina, Hassanali</v>
          </cell>
          <cell r="F27" t="str">
            <v>Meeting Participant</v>
          </cell>
          <cell r="G27" t="str">
            <v>Official Business</v>
          </cell>
          <cell r="H27" t="str">
            <v>To participate in the GC Special event on Green Economy to be held in Nairobi on 24 February 2011. participant will be paid DSA only.</v>
          </cell>
          <cell r="I27">
            <v>0</v>
          </cell>
          <cell r="J27" t="str">
            <v>Approved</v>
          </cell>
          <cell r="K27" t="str">
            <v>Unapproved</v>
          </cell>
          <cell r="L27" t="str">
            <v>16/02/2011</v>
          </cell>
          <cell r="M27" t="str">
            <v>21/02/2011</v>
          </cell>
        </row>
        <row r="28">
          <cell r="A28">
            <v>115904</v>
          </cell>
          <cell r="B28" t="str">
            <v>263516</v>
          </cell>
          <cell r="C28" t="str">
            <v>USD</v>
          </cell>
          <cell r="D28">
            <v>600</v>
          </cell>
          <cell r="E28" t="str">
            <v>Sachedina, Hassanali</v>
          </cell>
          <cell r="F28" t="str">
            <v>Meeting Participant</v>
          </cell>
          <cell r="G28" t="str">
            <v>Official Business</v>
          </cell>
          <cell r="H28" t="str">
            <v>To participate in the GC Special event on Green Economy to be held in Nairobi on 24 February 2011. participant will be paid DSA only.</v>
          </cell>
          <cell r="I28">
            <v>0</v>
          </cell>
          <cell r="J28" t="str">
            <v>Approved</v>
          </cell>
          <cell r="K28" t="str">
            <v>Unapproved</v>
          </cell>
          <cell r="L28" t="str">
            <v>16/02/2011</v>
          </cell>
          <cell r="M28" t="str">
            <v>21/02/2011</v>
          </cell>
        </row>
        <row r="29">
          <cell r="A29">
            <v>115974</v>
          </cell>
          <cell r="B29" t="str">
            <v>334906</v>
          </cell>
          <cell r="C29" t="str">
            <v>USD</v>
          </cell>
          <cell r="D29">
            <v>152</v>
          </cell>
          <cell r="E29" t="str">
            <v>Shah, Wahida</v>
          </cell>
          <cell r="F29" t="str">
            <v>Staff Member</v>
          </cell>
          <cell r="G29" t="str">
            <v>Official Business</v>
          </cell>
          <cell r="H29" t="str">
            <v>To participate in the FIP meeting in Kinshasa, DRC from 21 to 24 February 2011. BCD to issue ticket.</v>
          </cell>
          <cell r="I29">
            <v>0</v>
          </cell>
          <cell r="J29" t="str">
            <v>Approved</v>
          </cell>
          <cell r="K29" t="str">
            <v>Unapproved</v>
          </cell>
          <cell r="L29" t="str">
            <v>17/02/2011</v>
          </cell>
          <cell r="M29" t="str">
            <v>18/02/2011</v>
          </cell>
        </row>
        <row r="30">
          <cell r="A30">
            <v>115974</v>
          </cell>
          <cell r="B30" t="str">
            <v>334906</v>
          </cell>
          <cell r="C30" t="str">
            <v>USD</v>
          </cell>
          <cell r="D30">
            <v>925</v>
          </cell>
          <cell r="E30" t="str">
            <v>Shah, Wahida</v>
          </cell>
          <cell r="F30" t="str">
            <v>Staff Member</v>
          </cell>
          <cell r="G30" t="str">
            <v>Official Business</v>
          </cell>
          <cell r="H30" t="str">
            <v>To participate in the FIP meeting in Kinshasa, DRC from 21 to 24 February 2011. BCD to issue ticket.</v>
          </cell>
          <cell r="I30">
            <v>0</v>
          </cell>
          <cell r="J30" t="str">
            <v>Approved</v>
          </cell>
          <cell r="K30" t="str">
            <v>Unapproved</v>
          </cell>
          <cell r="L30" t="str">
            <v>17/02/2011</v>
          </cell>
          <cell r="M30" t="str">
            <v>18/02/2011</v>
          </cell>
        </row>
        <row r="31">
          <cell r="A31">
            <v>115974</v>
          </cell>
          <cell r="B31" t="str">
            <v>334906</v>
          </cell>
          <cell r="C31" t="str">
            <v>USD</v>
          </cell>
          <cell r="D31">
            <v>940</v>
          </cell>
          <cell r="E31" t="str">
            <v>Shah, Wahida</v>
          </cell>
          <cell r="F31" t="str">
            <v>Staff Member</v>
          </cell>
          <cell r="G31" t="str">
            <v>Official Business</v>
          </cell>
          <cell r="H31" t="str">
            <v>To participate in the FIP meeting in Kinshasa, DRC from 21 to 24 February 2011. BCD to issue ticket.</v>
          </cell>
          <cell r="I31">
            <v>0</v>
          </cell>
          <cell r="J31" t="str">
            <v>Approved</v>
          </cell>
          <cell r="K31" t="str">
            <v>Unapproved</v>
          </cell>
          <cell r="L31" t="str">
            <v>17/02/2011</v>
          </cell>
          <cell r="M31" t="str">
            <v>18/02/2011</v>
          </cell>
        </row>
        <row r="32">
          <cell r="A32">
            <v>115977</v>
          </cell>
          <cell r="B32" t="str">
            <v>760939</v>
          </cell>
          <cell r="C32" t="str">
            <v>USD</v>
          </cell>
          <cell r="D32">
            <v>25</v>
          </cell>
          <cell r="E32" t="str">
            <v>Sembres, Thomas</v>
          </cell>
          <cell r="F32" t="str">
            <v>Staff Member</v>
          </cell>
          <cell r="G32" t="str">
            <v>Official Business</v>
          </cell>
          <cell r="H32" t="str">
            <v>To participate in Model Forest Network Workshop in Kinshasa, DRC from 21 to 27 February 2011. BCD to issue ticket.</v>
          </cell>
          <cell r="I32">
            <v>2</v>
          </cell>
          <cell r="J32" t="str">
            <v>Approved</v>
          </cell>
          <cell r="K32" t="str">
            <v>Unapproved</v>
          </cell>
          <cell r="L32" t="str">
            <v>17/02/2011</v>
          </cell>
          <cell r="M32" t="str">
            <v>19/05/2011</v>
          </cell>
        </row>
        <row r="33">
          <cell r="A33">
            <v>115977</v>
          </cell>
          <cell r="B33" t="str">
            <v>760939</v>
          </cell>
          <cell r="C33" t="str">
            <v>USD</v>
          </cell>
          <cell r="D33">
            <v>152</v>
          </cell>
          <cell r="E33" t="str">
            <v>Sembres, Thomas</v>
          </cell>
          <cell r="F33" t="str">
            <v>Staff Member</v>
          </cell>
          <cell r="G33" t="str">
            <v>Official Business</v>
          </cell>
          <cell r="H33" t="str">
            <v>To participate in Model Forest Network Workshop in Kinshasa, DRC from 21 to 27 February 2011. BCD to issue ticket.</v>
          </cell>
          <cell r="I33">
            <v>2</v>
          </cell>
          <cell r="J33" t="str">
            <v>Approved</v>
          </cell>
          <cell r="K33" t="str">
            <v>Unapproved</v>
          </cell>
          <cell r="L33" t="str">
            <v>17/02/2011</v>
          </cell>
          <cell r="M33" t="str">
            <v>19/05/2011</v>
          </cell>
        </row>
        <row r="34">
          <cell r="A34">
            <v>115977</v>
          </cell>
          <cell r="B34" t="str">
            <v>760939</v>
          </cell>
          <cell r="C34" t="str">
            <v>USD</v>
          </cell>
          <cell r="D34">
            <v>925</v>
          </cell>
          <cell r="E34" t="str">
            <v>Sembres, Thomas</v>
          </cell>
          <cell r="F34" t="str">
            <v>Staff Member</v>
          </cell>
          <cell r="G34" t="str">
            <v>Official Business</v>
          </cell>
          <cell r="H34" t="str">
            <v>To participate in Model Forest Network Workshop in Kinshasa, DRC from 21 to 27 February 2011. BCD to issue ticket.</v>
          </cell>
          <cell r="I34">
            <v>2</v>
          </cell>
          <cell r="J34" t="str">
            <v>Approved</v>
          </cell>
          <cell r="K34" t="str">
            <v>Unapproved</v>
          </cell>
          <cell r="L34" t="str">
            <v>17/02/2011</v>
          </cell>
          <cell r="M34" t="str">
            <v>19/05/2011</v>
          </cell>
        </row>
        <row r="35">
          <cell r="A35">
            <v>115977</v>
          </cell>
          <cell r="B35" t="str">
            <v>760939</v>
          </cell>
          <cell r="C35" t="str">
            <v>USD</v>
          </cell>
          <cell r="D35">
            <v>1645</v>
          </cell>
          <cell r="E35" t="str">
            <v>Sembres, Thomas</v>
          </cell>
          <cell r="F35" t="str">
            <v>Staff Member</v>
          </cell>
          <cell r="G35" t="str">
            <v>Official Business</v>
          </cell>
          <cell r="H35" t="str">
            <v>To participate in Model Forest Network Workshop in Kinshasa, DRC from 21 to 27 February 2011. BCD to issue ticket.</v>
          </cell>
          <cell r="I35">
            <v>2</v>
          </cell>
          <cell r="J35" t="str">
            <v>Approved</v>
          </cell>
          <cell r="K35" t="str">
            <v>Unapproved</v>
          </cell>
          <cell r="L35" t="str">
            <v>17/02/2011</v>
          </cell>
          <cell r="M35" t="str">
            <v>19/05/2011</v>
          </cell>
        </row>
        <row r="36">
          <cell r="A36">
            <v>115993</v>
          </cell>
          <cell r="B36" t="str">
            <v>156622</v>
          </cell>
          <cell r="C36" t="str">
            <v>USD</v>
          </cell>
          <cell r="D36">
            <v>0</v>
          </cell>
          <cell r="E36" t="str">
            <v>Sena, Paul</v>
          </cell>
          <cell r="F36" t="str">
            <v>Meeting Participant</v>
          </cell>
          <cell r="G36" t="str">
            <v>Official Business</v>
          </cell>
          <cell r="H36" t="str">
            <v>To participate in the GC Special event on Green Economy to be held in Nairobi on 24 February 2011. The participant will only be paid DSA.</v>
          </cell>
          <cell r="I36">
            <v>0</v>
          </cell>
          <cell r="J36" t="str">
            <v>Approved</v>
          </cell>
          <cell r="K36" t="str">
            <v>Unapproved</v>
          </cell>
          <cell r="L36" t="str">
            <v>17/02/2011</v>
          </cell>
          <cell r="M36" t="str">
            <v>21/02/2011</v>
          </cell>
        </row>
        <row r="37">
          <cell r="A37">
            <v>115993</v>
          </cell>
          <cell r="B37" t="str">
            <v>156622</v>
          </cell>
          <cell r="C37" t="str">
            <v>USD</v>
          </cell>
          <cell r="D37">
            <v>300</v>
          </cell>
          <cell r="E37" t="str">
            <v>Sena, Paul</v>
          </cell>
          <cell r="F37" t="str">
            <v>Meeting Participant</v>
          </cell>
          <cell r="G37" t="str">
            <v>Official Business</v>
          </cell>
          <cell r="H37" t="str">
            <v>To participate in the GC Special event on Green Economy to be held in Nairobi on 24 February 2011. The participant will only be paid DSA.</v>
          </cell>
          <cell r="I37">
            <v>0</v>
          </cell>
          <cell r="J37" t="str">
            <v>Approved</v>
          </cell>
          <cell r="K37" t="str">
            <v>Unapproved</v>
          </cell>
          <cell r="L37" t="str">
            <v>17/02/2011</v>
          </cell>
          <cell r="M37" t="str">
            <v>21/02/2011</v>
          </cell>
        </row>
        <row r="38">
          <cell r="A38">
            <v>116006</v>
          </cell>
          <cell r="B38" t="str">
            <v>405010</v>
          </cell>
          <cell r="C38" t="str">
            <v>USD</v>
          </cell>
          <cell r="D38">
            <v>160</v>
          </cell>
          <cell r="E38" t="str">
            <v>Moloto-A-Kenguemba, Gaetan</v>
          </cell>
          <cell r="F38" t="str">
            <v>Meeting Participant</v>
          </cell>
          <cell r="G38" t="str">
            <v>Official Business</v>
          </cell>
          <cell r="H38" t="str">
            <v>To participate in the African Model Forest Network Workshop to be held in Kinshasa, DRC from 23 to 25 February 2011. BCD to issue ticket.  AMFN to pay DSA while in Kinshasa. DSA for overnight in Addis to be paid due to unavailability of direct flight</v>
          </cell>
          <cell r="I38">
            <v>0</v>
          </cell>
          <cell r="J38" t="str">
            <v>Approved</v>
          </cell>
          <cell r="K38" t="str">
            <v>Unapproved</v>
          </cell>
          <cell r="L38" t="str">
            <v>17/02/2011</v>
          </cell>
          <cell r="M38" t="str">
            <v>18/02/2011</v>
          </cell>
        </row>
        <row r="39">
          <cell r="A39">
            <v>116006</v>
          </cell>
          <cell r="B39" t="str">
            <v>405010</v>
          </cell>
          <cell r="C39" t="str">
            <v>USD</v>
          </cell>
          <cell r="D39">
            <v>1282.43</v>
          </cell>
          <cell r="E39" t="str">
            <v>Moloto-A-Kenguemba, Gaetan</v>
          </cell>
          <cell r="F39" t="str">
            <v>Meeting Participant</v>
          </cell>
          <cell r="G39" t="str">
            <v>Official Business</v>
          </cell>
          <cell r="H39" t="str">
            <v>To participate in the African Model Forest Network Workshop to be held in Kinshasa, DRC from 23 to 25 February 2011. BCD to issue ticket.  AMFN to pay DSA while in Kinshasa. DSA for overnight in Addis to be paid due to unavailability of direct flight</v>
          </cell>
          <cell r="I39">
            <v>0</v>
          </cell>
          <cell r="J39" t="str">
            <v>Approved</v>
          </cell>
          <cell r="K39" t="str">
            <v>Unapproved</v>
          </cell>
          <cell r="L39" t="str">
            <v>17/02/2011</v>
          </cell>
          <cell r="M39" t="str">
            <v>18/02/2011</v>
          </cell>
        </row>
        <row r="40">
          <cell r="A40">
            <v>116064</v>
          </cell>
          <cell r="B40" t="str">
            <v>338432</v>
          </cell>
          <cell r="C40" t="str">
            <v>USD</v>
          </cell>
          <cell r="D40">
            <v>100</v>
          </cell>
          <cell r="E40" t="str">
            <v>Homb, Marguerite</v>
          </cell>
          <cell r="F40" t="str">
            <v>Meeting Participant</v>
          </cell>
          <cell r="G40" t="str">
            <v>Official Business</v>
          </cell>
          <cell r="H40" t="str">
            <v>To participate in the African Model Forest Network Workshop to be held in Kinshasa, DRC from 23 to 25 February 2011.  AMFN(other organizers) to pay DSA while in Kinshasa. UNEP to pay for self tickets for boat tickets.</v>
          </cell>
          <cell r="I40">
            <v>0</v>
          </cell>
          <cell r="J40" t="str">
            <v>Approved</v>
          </cell>
          <cell r="K40" t="str">
            <v>Unapproved</v>
          </cell>
          <cell r="L40" t="str">
            <v>18/02/2011</v>
          </cell>
          <cell r="M40" t="str">
            <v>21/02/2011</v>
          </cell>
        </row>
        <row r="41">
          <cell r="A41">
            <v>116066</v>
          </cell>
          <cell r="B41" t="str">
            <v>9295</v>
          </cell>
          <cell r="C41" t="str">
            <v>USD</v>
          </cell>
          <cell r="D41">
            <v>100</v>
          </cell>
          <cell r="E41" t="str">
            <v>Itsoua Madzous, Gervais Ludovic</v>
          </cell>
          <cell r="F41" t="str">
            <v>Meeting Participant</v>
          </cell>
          <cell r="G41" t="str">
            <v>Official Business</v>
          </cell>
          <cell r="H41" t="str">
            <v>To participate in the African Model Forest Network Workshop to be held in Kinshasa, DRC from 23 to 25 February 2011.  AMFN(other organizers) to pay DSA while in Kinshasa. UNEP to pay for self tickets for boat tickets.</v>
          </cell>
          <cell r="I41">
            <v>0</v>
          </cell>
          <cell r="J41" t="str">
            <v>Approved</v>
          </cell>
          <cell r="K41" t="str">
            <v>Unapproved</v>
          </cell>
          <cell r="L41" t="str">
            <v>18/02/2011</v>
          </cell>
          <cell r="M41" t="str">
            <v>21/02/2011</v>
          </cell>
        </row>
        <row r="42">
          <cell r="A42">
            <v>116259</v>
          </cell>
          <cell r="B42" t="str">
            <v>215967</v>
          </cell>
          <cell r="C42" t="str">
            <v>USD</v>
          </cell>
          <cell r="D42">
            <v>152</v>
          </cell>
          <cell r="E42" t="str">
            <v>Prabhu, Ravindra</v>
          </cell>
          <cell r="F42" t="str">
            <v>Staff Member</v>
          </cell>
          <cell r="G42" t="str">
            <v>Official Business</v>
          </cell>
          <cell r="H42" t="str">
            <v>To participate in the FAO/UN-REDD Advisory Group on Monitoring REDD+ Governance in Rome, Italy from 3 to 4 March 2011. S/m will be on leave in India arriving on 2nd afternoon and fly out that night. Express travel to issue ticket</v>
          </cell>
          <cell r="I42">
            <v>0</v>
          </cell>
          <cell r="J42" t="str">
            <v>Approved</v>
          </cell>
          <cell r="K42" t="str">
            <v>Unapproved</v>
          </cell>
          <cell r="L42" t="str">
            <v>22/02/2011</v>
          </cell>
          <cell r="M42" t="str">
            <v>22/02/2011</v>
          </cell>
        </row>
        <row r="43">
          <cell r="A43">
            <v>116259</v>
          </cell>
          <cell r="B43" t="str">
            <v>215967</v>
          </cell>
          <cell r="C43" t="str">
            <v>USD</v>
          </cell>
          <cell r="D43">
            <v>1239</v>
          </cell>
          <cell r="E43" t="str">
            <v>Prabhu, Ravindra</v>
          </cell>
          <cell r="F43" t="str">
            <v>Staff Member</v>
          </cell>
          <cell r="G43" t="str">
            <v>Official Business</v>
          </cell>
          <cell r="H43" t="str">
            <v>To participate in the FAO/UN-REDD Advisory Group on Monitoring REDD+ Governance in Rome, Italy from 3 to 4 March 2011. S/m will be on leave in India arriving on 2nd afternoon and fly out that night. Express travel to issue ticket</v>
          </cell>
          <cell r="I43">
            <v>0</v>
          </cell>
          <cell r="J43" t="str">
            <v>Approved</v>
          </cell>
          <cell r="K43" t="str">
            <v>Unapproved</v>
          </cell>
          <cell r="L43" t="str">
            <v>22/02/2011</v>
          </cell>
          <cell r="M43" t="str">
            <v>22/02/2011</v>
          </cell>
        </row>
        <row r="44">
          <cell r="A44">
            <v>116259</v>
          </cell>
          <cell r="B44" t="str">
            <v>215967</v>
          </cell>
          <cell r="C44" t="str">
            <v>USD</v>
          </cell>
          <cell r="D44">
            <v>2989.2</v>
          </cell>
          <cell r="E44" t="str">
            <v>Prabhu, Ravindra</v>
          </cell>
          <cell r="F44" t="str">
            <v>Staff Member</v>
          </cell>
          <cell r="G44" t="str">
            <v>Official Business</v>
          </cell>
          <cell r="H44" t="str">
            <v>To participate in the FAO/UN-REDD Advisory Group on Monitoring REDD+ Governance in Rome, Italy from 3 to 4 March 2011. S/m will be on leave in India arriving on 2nd afternoon and fly out that night. Express travel to issue ticket</v>
          </cell>
          <cell r="I44">
            <v>0</v>
          </cell>
          <cell r="J44" t="str">
            <v>Approved</v>
          </cell>
          <cell r="K44" t="str">
            <v>Unapproved</v>
          </cell>
          <cell r="L44" t="str">
            <v>22/02/2011</v>
          </cell>
          <cell r="M44" t="str">
            <v>22/02/2011</v>
          </cell>
        </row>
        <row r="45">
          <cell r="A45">
            <v>116466</v>
          </cell>
          <cell r="B45" t="str">
            <v>820576</v>
          </cell>
          <cell r="C45" t="str">
            <v>USD</v>
          </cell>
          <cell r="D45">
            <v>152</v>
          </cell>
          <cell r="E45" t="str">
            <v>KASTEN, Timothy</v>
          </cell>
          <cell r="F45" t="str">
            <v>Staff Member</v>
          </cell>
          <cell r="G45" t="str">
            <v>Official Business</v>
          </cell>
          <cell r="H45" t="str">
            <v>To participate in the UN-REDD programme's Coordination Group meeting to discuss the Global Programme and related frameworks for 2011-2013 on 3-4 March 2011 in Rome, Italy</v>
          </cell>
          <cell r="I45">
            <v>0</v>
          </cell>
          <cell r="J45" t="str">
            <v>Approved</v>
          </cell>
          <cell r="K45" t="str">
            <v>Unapproved</v>
          </cell>
          <cell r="L45" t="str">
            <v>28/02/2011</v>
          </cell>
          <cell r="M45" t="str">
            <v>02/03/2011</v>
          </cell>
        </row>
        <row r="46">
          <cell r="A46">
            <v>116466</v>
          </cell>
          <cell r="B46" t="str">
            <v>820576</v>
          </cell>
          <cell r="C46" t="str">
            <v>USD</v>
          </cell>
          <cell r="D46">
            <v>1239</v>
          </cell>
          <cell r="E46" t="str">
            <v>KASTEN, Timothy</v>
          </cell>
          <cell r="F46" t="str">
            <v>Staff Member</v>
          </cell>
          <cell r="G46" t="str">
            <v>Official Business</v>
          </cell>
          <cell r="H46" t="str">
            <v>To participate in the UN-REDD programme's Coordination Group meeting to discuss the Global Programme and related frameworks for 2011-2013 on 3-4 March 2011 in Rome, Italy</v>
          </cell>
          <cell r="I46">
            <v>0</v>
          </cell>
          <cell r="J46" t="str">
            <v>Approved</v>
          </cell>
          <cell r="K46" t="str">
            <v>Unapproved</v>
          </cell>
          <cell r="L46" t="str">
            <v>28/02/2011</v>
          </cell>
          <cell r="M46" t="str">
            <v>02/03/2011</v>
          </cell>
        </row>
        <row r="47">
          <cell r="A47">
            <v>116466</v>
          </cell>
          <cell r="B47" t="str">
            <v>820576</v>
          </cell>
          <cell r="C47" t="str">
            <v>USD</v>
          </cell>
          <cell r="D47">
            <v>3488.7</v>
          </cell>
          <cell r="E47" t="str">
            <v>KASTEN, Timothy</v>
          </cell>
          <cell r="F47" t="str">
            <v>Staff Member</v>
          </cell>
          <cell r="G47" t="str">
            <v>Official Business</v>
          </cell>
          <cell r="H47" t="str">
            <v>To participate in the UN-REDD programme's Coordination Group meeting to discuss the Global Programme and related frameworks for 2011-2013 on 3-4 March 2011 in Rome, Italy</v>
          </cell>
          <cell r="I47">
            <v>0</v>
          </cell>
          <cell r="J47" t="str">
            <v>Approved</v>
          </cell>
          <cell r="K47" t="str">
            <v>Unapproved</v>
          </cell>
          <cell r="L47" t="str">
            <v>28/02/2011</v>
          </cell>
          <cell r="M47" t="str">
            <v>02/03/2011</v>
          </cell>
        </row>
        <row r="48">
          <cell r="A48">
            <v>116754</v>
          </cell>
          <cell r="B48" t="str">
            <v>215967</v>
          </cell>
          <cell r="C48" t="str">
            <v>USD</v>
          </cell>
          <cell r="D48">
            <v>152</v>
          </cell>
          <cell r="E48" t="str">
            <v>Prabhu, Ravindra</v>
          </cell>
          <cell r="F48" t="str">
            <v>Staff Member</v>
          </cell>
          <cell r="G48" t="str">
            <v>Official Business</v>
          </cell>
          <cell r="H48" t="str">
            <v>To attend the CBD Safeguards Workshop in Singapore from 18 to 19 March 2011; to attend the UN-REDD 6th Policy Board Meeting in Da Lat, Vietnam from 20 to 22 Mar 2011 and Conference on Funding Instrument in Bali, Indonesia frm 24 to 25 Mar2011</v>
          </cell>
          <cell r="I48">
            <v>1</v>
          </cell>
          <cell r="J48" t="str">
            <v>Approved</v>
          </cell>
          <cell r="K48" t="str">
            <v>Unapproved</v>
          </cell>
          <cell r="L48" t="str">
            <v>03/03/2011</v>
          </cell>
          <cell r="M48" t="str">
            <v>15/03/2011</v>
          </cell>
        </row>
        <row r="49">
          <cell r="A49">
            <v>116754</v>
          </cell>
          <cell r="B49" t="str">
            <v>215967</v>
          </cell>
          <cell r="C49" t="str">
            <v>USD</v>
          </cell>
          <cell r="D49">
            <v>153</v>
          </cell>
          <cell r="E49" t="str">
            <v>Prabhu, Ravindra</v>
          </cell>
          <cell r="F49" t="str">
            <v>Staff Member</v>
          </cell>
          <cell r="G49" t="str">
            <v>Official Business</v>
          </cell>
          <cell r="H49" t="str">
            <v>To attend the CBD Safeguards Workshop in Singapore from 18 to 19 March 2011; to attend the UN-REDD 6th Policy Board Meeting in Da Lat, Vietnam from 20 to 22 Mar 2011 and Conference on Funding Instrument in Bali, Indonesia frm 24 to 25 Mar2011</v>
          </cell>
          <cell r="I49">
            <v>1</v>
          </cell>
          <cell r="J49" t="str">
            <v>Approved</v>
          </cell>
          <cell r="K49" t="str">
            <v>Unapproved</v>
          </cell>
          <cell r="L49" t="str">
            <v>03/03/2011</v>
          </cell>
          <cell r="M49" t="str">
            <v>15/03/2011</v>
          </cell>
        </row>
        <row r="50">
          <cell r="A50">
            <v>116754</v>
          </cell>
          <cell r="B50" t="str">
            <v>215967</v>
          </cell>
          <cell r="C50" t="str">
            <v>USD</v>
          </cell>
          <cell r="D50">
            <v>318</v>
          </cell>
          <cell r="E50" t="str">
            <v>Prabhu, Ravindra</v>
          </cell>
          <cell r="F50" t="str">
            <v>Staff Member</v>
          </cell>
          <cell r="G50" t="str">
            <v>Official Business</v>
          </cell>
          <cell r="H50" t="str">
            <v>To attend the CBD Safeguards Workshop in Singapore from 18 to 19 March 2011; to attend the UN-REDD 6th Policy Board Meeting in Da Lat, Vietnam from 20 to 22 Mar 2011 and Conference on Funding Instrument in Bali, Indonesia frm 24 to 25 Mar2011</v>
          </cell>
          <cell r="I50">
            <v>1</v>
          </cell>
          <cell r="J50" t="str">
            <v>Approved</v>
          </cell>
          <cell r="K50" t="str">
            <v>Unapproved</v>
          </cell>
          <cell r="L50" t="str">
            <v>03/03/2011</v>
          </cell>
          <cell r="M50" t="str">
            <v>15/03/2011</v>
          </cell>
        </row>
        <row r="51">
          <cell r="A51">
            <v>116754</v>
          </cell>
          <cell r="B51" t="str">
            <v>215967</v>
          </cell>
          <cell r="C51" t="str">
            <v>USD</v>
          </cell>
          <cell r="D51">
            <v>440</v>
          </cell>
          <cell r="E51" t="str">
            <v>Prabhu, Ravindra</v>
          </cell>
          <cell r="F51" t="str">
            <v>Staff Member</v>
          </cell>
          <cell r="G51" t="str">
            <v>Official Business</v>
          </cell>
          <cell r="H51" t="str">
            <v>To attend the CBD Safeguards Workshop in Singapore from 18 to 19 March 2011; to attend the UN-REDD 6th Policy Board Meeting in Da Lat, Vietnam from 20 to 22 Mar 2011 and Conference on Funding Instrument in Bali, Indonesia frm 24 to 25 Mar2011</v>
          </cell>
          <cell r="I51">
            <v>1</v>
          </cell>
          <cell r="J51" t="str">
            <v>Approved</v>
          </cell>
          <cell r="K51" t="str">
            <v>Unapproved</v>
          </cell>
          <cell r="L51" t="str">
            <v>03/03/2011</v>
          </cell>
          <cell r="M51" t="str">
            <v>15/03/2011</v>
          </cell>
        </row>
        <row r="52">
          <cell r="A52">
            <v>116754</v>
          </cell>
          <cell r="B52" t="str">
            <v>215967</v>
          </cell>
          <cell r="C52" t="str">
            <v>USD</v>
          </cell>
          <cell r="D52">
            <v>1308</v>
          </cell>
          <cell r="E52" t="str">
            <v>Prabhu, Ravindra</v>
          </cell>
          <cell r="F52" t="str">
            <v>Staff Member</v>
          </cell>
          <cell r="G52" t="str">
            <v>Official Business</v>
          </cell>
          <cell r="H52" t="str">
            <v>To attend the CBD Safeguards Workshop in Singapore from 18 to 19 March 2011; to attend the UN-REDD 6th Policy Board Meeting in Da Lat, Vietnam from 20 to 22 Mar 2011 and Conference on Funding Instrument in Bali, Indonesia frm 24 to 25 Mar2011</v>
          </cell>
          <cell r="I52">
            <v>1</v>
          </cell>
          <cell r="J52" t="str">
            <v>Approved</v>
          </cell>
          <cell r="K52" t="str">
            <v>Unapproved</v>
          </cell>
          <cell r="L52" t="str">
            <v>03/03/2011</v>
          </cell>
          <cell r="M52" t="str">
            <v>15/03/2011</v>
          </cell>
        </row>
        <row r="53">
          <cell r="A53">
            <v>116754</v>
          </cell>
          <cell r="B53" t="str">
            <v>215967</v>
          </cell>
          <cell r="C53" t="str">
            <v>USD</v>
          </cell>
          <cell r="D53">
            <v>4941.7</v>
          </cell>
          <cell r="E53" t="str">
            <v>Prabhu, Ravindra</v>
          </cell>
          <cell r="F53" t="str">
            <v>Staff Member</v>
          </cell>
          <cell r="G53" t="str">
            <v>Official Business</v>
          </cell>
          <cell r="H53" t="str">
            <v>To attend the CBD Safeguards Workshop in Singapore from 18 to 19 March 2011; to attend the UN-REDD 6th Policy Board Meeting in Da Lat, Vietnam from 20 to 22 Mar 2011 and Conference on Funding Instrument in Bali, Indonesia frm 24 to 25 Mar2011</v>
          </cell>
          <cell r="I53">
            <v>1</v>
          </cell>
          <cell r="J53" t="str">
            <v>Approved</v>
          </cell>
          <cell r="K53" t="str">
            <v>Unapproved</v>
          </cell>
          <cell r="L53" t="str">
            <v>03/03/2011</v>
          </cell>
          <cell r="M53" t="str">
            <v>15/03/2011</v>
          </cell>
        </row>
        <row r="54">
          <cell r="A54">
            <v>117112</v>
          </cell>
          <cell r="B54" t="str">
            <v>557285</v>
          </cell>
          <cell r="C54" t="str">
            <v>USD</v>
          </cell>
          <cell r="D54">
            <v>152</v>
          </cell>
          <cell r="E54" t="str">
            <v>Thiaw, Ibrahim</v>
          </cell>
          <cell r="F54" t="str">
            <v>Staff Member</v>
          </cell>
          <cell r="G54" t="str">
            <v>Official Business</v>
          </cell>
          <cell r="H54" t="str">
            <v>Attend the UN-REDD Programme 6th Policy Board Meeting from 21-22 March 2011, Da Lat, Vietnam. BCD to issue return air ticket. DSA through EFT</v>
          </cell>
          <cell r="I54">
            <v>0</v>
          </cell>
          <cell r="J54" t="str">
            <v>Approved</v>
          </cell>
          <cell r="K54" t="str">
            <v>Unapproved</v>
          </cell>
          <cell r="L54" t="str">
            <v>07/03/2011</v>
          </cell>
          <cell r="M54" t="str">
            <v>16/03/2011</v>
          </cell>
        </row>
        <row r="55">
          <cell r="A55">
            <v>117112</v>
          </cell>
          <cell r="B55" t="str">
            <v>557285</v>
          </cell>
          <cell r="C55" t="str">
            <v>USD</v>
          </cell>
          <cell r="D55">
            <v>424</v>
          </cell>
          <cell r="E55" t="str">
            <v>Thiaw, Ibrahim</v>
          </cell>
          <cell r="F55" t="str">
            <v>Staff Member</v>
          </cell>
          <cell r="G55" t="str">
            <v>Official Business</v>
          </cell>
          <cell r="H55" t="str">
            <v>Attend the UN-REDD Programme 6th Policy Board Meeting from 21-22 March 2011, Da Lat, Vietnam. BCD to issue return air ticket. DSA through EFT</v>
          </cell>
          <cell r="I55">
            <v>0</v>
          </cell>
          <cell r="J55" t="str">
            <v>Approved</v>
          </cell>
          <cell r="K55" t="str">
            <v>Unapproved</v>
          </cell>
          <cell r="L55" t="str">
            <v>07/03/2011</v>
          </cell>
          <cell r="M55" t="str">
            <v>16/03/2011</v>
          </cell>
        </row>
        <row r="56">
          <cell r="A56">
            <v>117112</v>
          </cell>
          <cell r="B56" t="str">
            <v>557285</v>
          </cell>
          <cell r="C56" t="str">
            <v>USD</v>
          </cell>
          <cell r="D56">
            <v>3957</v>
          </cell>
          <cell r="E56" t="str">
            <v>Thiaw, Ibrahim</v>
          </cell>
          <cell r="F56" t="str">
            <v>Staff Member</v>
          </cell>
          <cell r="G56" t="str">
            <v>Official Business</v>
          </cell>
          <cell r="H56" t="str">
            <v>Attend the UN-REDD Programme 6th Policy Board Meeting from 21-22 March 2011, Da Lat, Vietnam. BCD to issue return air ticket. DSA through EFT</v>
          </cell>
          <cell r="I56">
            <v>0</v>
          </cell>
          <cell r="J56" t="str">
            <v>Approved</v>
          </cell>
          <cell r="K56" t="str">
            <v>Unapproved</v>
          </cell>
          <cell r="L56" t="str">
            <v>07/03/2011</v>
          </cell>
          <cell r="M56" t="str">
            <v>16/03/2011</v>
          </cell>
        </row>
        <row r="57">
          <cell r="A57">
            <v>117309</v>
          </cell>
          <cell r="B57" t="str">
            <v>47933</v>
          </cell>
          <cell r="C57" t="str">
            <v>USD</v>
          </cell>
          <cell r="D57">
            <v>25</v>
          </cell>
          <cell r="E57" t="str">
            <v>Hagelberg, Niklas</v>
          </cell>
          <cell r="F57" t="str">
            <v>Staff Member</v>
          </cell>
          <cell r="G57" t="str">
            <v>Official Business</v>
          </cell>
          <cell r="H57" t="str">
            <v>To participate in the Programme Coordination and Management Group meeting on 17 March 2011 in Dar-es-Salaam, Tanzania. Express Travel to issue ticket.</v>
          </cell>
          <cell r="I57">
            <v>1</v>
          </cell>
          <cell r="J57" t="str">
            <v>Approved</v>
          </cell>
          <cell r="K57" t="str">
            <v>Unapproved</v>
          </cell>
          <cell r="L57" t="str">
            <v>09/03/2011</v>
          </cell>
          <cell r="M57" t="str">
            <v>12/05/2011</v>
          </cell>
        </row>
        <row r="58">
          <cell r="A58">
            <v>117309</v>
          </cell>
          <cell r="B58" t="str">
            <v>47933</v>
          </cell>
          <cell r="C58" t="str">
            <v>USD</v>
          </cell>
          <cell r="D58">
            <v>152</v>
          </cell>
          <cell r="E58" t="str">
            <v>Hagelberg, Niklas</v>
          </cell>
          <cell r="F58" t="str">
            <v>Staff Member</v>
          </cell>
          <cell r="G58" t="str">
            <v>Official Business</v>
          </cell>
          <cell r="H58" t="str">
            <v>To participate in the Programme Coordination and Management Group meeting on 17 March 2011 in Dar-es-Salaam, Tanzania. Express Travel to issue ticket.</v>
          </cell>
          <cell r="I58">
            <v>1</v>
          </cell>
          <cell r="J58" t="str">
            <v>Approved</v>
          </cell>
          <cell r="K58" t="str">
            <v>Unapproved</v>
          </cell>
          <cell r="L58" t="str">
            <v>09/03/2011</v>
          </cell>
          <cell r="M58" t="str">
            <v>12/05/2011</v>
          </cell>
        </row>
        <row r="59">
          <cell r="A59">
            <v>117309</v>
          </cell>
          <cell r="B59" t="str">
            <v>47933</v>
          </cell>
          <cell r="C59" t="str">
            <v>USD</v>
          </cell>
          <cell r="D59">
            <v>371.4</v>
          </cell>
          <cell r="E59" t="str">
            <v>Hagelberg, Niklas</v>
          </cell>
          <cell r="F59" t="str">
            <v>Staff Member</v>
          </cell>
          <cell r="G59" t="str">
            <v>Official Business</v>
          </cell>
          <cell r="H59" t="str">
            <v>To participate in the Programme Coordination and Management Group meeting on 17 March 2011 in Dar-es-Salaam, Tanzania. Express Travel to issue ticket.</v>
          </cell>
          <cell r="I59">
            <v>1</v>
          </cell>
          <cell r="J59" t="str">
            <v>Approved</v>
          </cell>
          <cell r="K59" t="str">
            <v>Unapproved</v>
          </cell>
          <cell r="L59" t="str">
            <v>09/03/2011</v>
          </cell>
          <cell r="M59" t="str">
            <v>12/05/2011</v>
          </cell>
        </row>
        <row r="60">
          <cell r="A60">
            <v>117309</v>
          </cell>
          <cell r="B60" t="str">
            <v>47933</v>
          </cell>
          <cell r="C60" t="str">
            <v>USD</v>
          </cell>
          <cell r="D60">
            <v>386</v>
          </cell>
          <cell r="E60" t="str">
            <v>Hagelberg, Niklas</v>
          </cell>
          <cell r="F60" t="str">
            <v>Staff Member</v>
          </cell>
          <cell r="G60" t="str">
            <v>Official Business</v>
          </cell>
          <cell r="H60" t="str">
            <v>To participate in the Programme Coordination and Management Group meeting on 17 March 2011 in Dar-es-Salaam, Tanzania. Express Travel to issue ticket.</v>
          </cell>
          <cell r="I60">
            <v>1</v>
          </cell>
          <cell r="J60" t="str">
            <v>Approved</v>
          </cell>
          <cell r="K60" t="str">
            <v>Unapproved</v>
          </cell>
          <cell r="L60" t="str">
            <v>09/03/2011</v>
          </cell>
          <cell r="M60" t="str">
            <v>12/05/2011</v>
          </cell>
        </row>
        <row r="61">
          <cell r="A61">
            <v>117840</v>
          </cell>
          <cell r="B61" t="str">
            <v>965764</v>
          </cell>
          <cell r="C61" t="str">
            <v>USD</v>
          </cell>
          <cell r="D61">
            <v>912</v>
          </cell>
          <cell r="E61" t="str">
            <v>Martino, Diego</v>
          </cell>
          <cell r="F61" t="str">
            <v>Staff Member</v>
          </cell>
          <cell r="G61" t="str">
            <v>Official Business</v>
          </cell>
          <cell r="H61" t="str">
            <v>PANAMA. 26/03/11-30/03/11. CONTINUATION OF TVRQ.113812- PARTICIPATE IN MEETINGS WITH THE FAO AND UNDP REPECTIVE TEAMS OF THE UN-REDD PROGRAMME. DSA FOR THIS TRVQ WILL BE PAID FROM 25/03/11-28/03/11. plane ticket paid on tvrq117840</v>
          </cell>
          <cell r="I61">
            <v>0</v>
          </cell>
          <cell r="J61" t="str">
            <v>Approved</v>
          </cell>
          <cell r="K61" t="str">
            <v>Unapproved</v>
          </cell>
          <cell r="L61" t="str">
            <v>17/03/2011</v>
          </cell>
          <cell r="M61" t="str">
            <v>19/03/2011</v>
          </cell>
        </row>
        <row r="62">
          <cell r="A62">
            <v>118280</v>
          </cell>
          <cell r="B62" t="str">
            <v>965764</v>
          </cell>
          <cell r="C62" t="str">
            <v>USD</v>
          </cell>
          <cell r="D62">
            <v>60</v>
          </cell>
          <cell r="E62" t="str">
            <v>Martino, Diego</v>
          </cell>
          <cell r="F62" t="str">
            <v>Staff Member</v>
          </cell>
          <cell r="G62" t="str">
            <v>Official Business</v>
          </cell>
          <cell r="H62" t="str">
            <v>ECUADOR AND PANAMA.10/04/11-15/04/11. PARTICIPATE IN UN REDD MISSION TO ACCOMPANY THE UN REDD VIETNAM MISSION TO ECUADOR AND DISCUSS WITH THE GOVERNMENT UNEP'S ACTIVITIES AS OUTLINED IN THE NJP AND GLOBAL PRG. FULL DSA.</v>
          </cell>
          <cell r="I62">
            <v>2</v>
          </cell>
          <cell r="J62" t="str">
            <v>Approved</v>
          </cell>
          <cell r="K62" t="str">
            <v>Unapproved</v>
          </cell>
          <cell r="L62" t="str">
            <v>24/03/2011</v>
          </cell>
          <cell r="M62" t="str">
            <v>16/04/2011</v>
          </cell>
        </row>
        <row r="63">
          <cell r="A63">
            <v>118280</v>
          </cell>
          <cell r="B63" t="str">
            <v>965764</v>
          </cell>
          <cell r="C63" t="str">
            <v>USD</v>
          </cell>
          <cell r="D63">
            <v>152</v>
          </cell>
          <cell r="E63" t="str">
            <v>Martino, Diego</v>
          </cell>
          <cell r="F63" t="str">
            <v>Staff Member</v>
          </cell>
          <cell r="G63" t="str">
            <v>Official Business</v>
          </cell>
          <cell r="H63" t="str">
            <v>ECUADOR AND PANAMA.10/04/11-15/04/11. PARTICIPATE IN UN REDD MISSION TO ACCOMPANY THE UN REDD VIETNAM MISSION TO ECUADOR AND DISCUSS WITH THE GOVERNMENT UNEP'S ACTIVITIES AS OUTLINED IN THE NJP AND GLOBAL PRG. FULL DSA.</v>
          </cell>
          <cell r="I63">
            <v>2</v>
          </cell>
          <cell r="J63" t="str">
            <v>Approved</v>
          </cell>
          <cell r="K63" t="str">
            <v>Unapproved</v>
          </cell>
          <cell r="L63" t="str">
            <v>24/03/2011</v>
          </cell>
          <cell r="M63" t="str">
            <v>16/04/2011</v>
          </cell>
        </row>
        <row r="64">
          <cell r="A64">
            <v>118280</v>
          </cell>
          <cell r="B64" t="str">
            <v>965764</v>
          </cell>
          <cell r="C64" t="str">
            <v>USD</v>
          </cell>
          <cell r="D64">
            <v>990</v>
          </cell>
          <cell r="E64" t="str">
            <v>Martino, Diego</v>
          </cell>
          <cell r="F64" t="str">
            <v>Staff Member</v>
          </cell>
          <cell r="G64" t="str">
            <v>Official Business</v>
          </cell>
          <cell r="H64" t="str">
            <v>ECUADOR AND PANAMA.10/04/11-15/04/11. PARTICIPATE IN UN REDD MISSION TO ACCOMPANY THE UN REDD VIETNAM MISSION TO ECUADOR AND DISCUSS WITH THE GOVERNMENT UNEP'S ACTIVITIES AS OUTLINED IN THE NJP AND GLOBAL PRG. FULL DSA.</v>
          </cell>
          <cell r="I64">
            <v>2</v>
          </cell>
          <cell r="J64" t="str">
            <v>Approved</v>
          </cell>
          <cell r="K64" t="str">
            <v>Unapproved</v>
          </cell>
          <cell r="L64" t="str">
            <v>24/03/2011</v>
          </cell>
          <cell r="M64" t="str">
            <v>16/04/2011</v>
          </cell>
        </row>
        <row r="65">
          <cell r="A65">
            <v>118280</v>
          </cell>
          <cell r="B65" t="str">
            <v>965764</v>
          </cell>
          <cell r="C65" t="str">
            <v>USD</v>
          </cell>
          <cell r="D65">
            <v>1205</v>
          </cell>
          <cell r="E65" t="str">
            <v>Martino, Diego</v>
          </cell>
          <cell r="F65" t="str">
            <v>Staff Member</v>
          </cell>
          <cell r="G65" t="str">
            <v>Official Business</v>
          </cell>
          <cell r="H65" t="str">
            <v>ECUADOR AND PANAMA.10/04/11-15/04/11. PARTICIPATE IN UN REDD MISSION TO ACCOMPANY THE UN REDD VIETNAM MISSION TO ECUADOR AND DISCUSS WITH THE GOVERNMENT UNEP'S ACTIVITIES AS OUTLINED IN THE NJP AND GLOBAL PRG. FULL DSA.</v>
          </cell>
          <cell r="I65">
            <v>2</v>
          </cell>
          <cell r="J65" t="str">
            <v>Approved</v>
          </cell>
          <cell r="K65" t="str">
            <v>Unapproved</v>
          </cell>
          <cell r="L65" t="str">
            <v>24/03/2011</v>
          </cell>
          <cell r="M65" t="str">
            <v>16/04/2011</v>
          </cell>
        </row>
        <row r="66">
          <cell r="A66">
            <v>118598</v>
          </cell>
          <cell r="B66" t="str">
            <v>405301</v>
          </cell>
          <cell r="C66" t="str">
            <v>USD</v>
          </cell>
          <cell r="D66">
            <v>152</v>
          </cell>
          <cell r="E66" t="str">
            <v>Labbate, Gabriel</v>
          </cell>
          <cell r="F66" t="str">
            <v>Staff Member</v>
          </cell>
          <cell r="G66" t="str">
            <v>Official Business</v>
          </cell>
          <cell r="H66" t="str">
            <v>COLOMBIA. 15/05/11-21/05/11. REGIONAL WORKSHOP BY UN REDD PROGRAMME. ESTIMATING OPPORTUNITY COSTS AND IMPLEMENTATION COSTS OF REDD. FULL DSA AND T.EXP.</v>
          </cell>
          <cell r="I66">
            <v>1</v>
          </cell>
          <cell r="J66" t="str">
            <v>Approved</v>
          </cell>
          <cell r="K66" t="str">
            <v>Unapproved</v>
          </cell>
          <cell r="L66" t="str">
            <v>31/03/2011</v>
          </cell>
          <cell r="M66" t="str">
            <v>06/05/2011</v>
          </cell>
        </row>
        <row r="67">
          <cell r="A67">
            <v>118598</v>
          </cell>
          <cell r="B67" t="str">
            <v>405301</v>
          </cell>
          <cell r="C67" t="str">
            <v>USD</v>
          </cell>
          <cell r="D67">
            <v>589</v>
          </cell>
          <cell r="E67" t="str">
            <v>Labbate, Gabriel</v>
          </cell>
          <cell r="F67" t="str">
            <v>Staff Member</v>
          </cell>
          <cell r="G67" t="str">
            <v>Official Business</v>
          </cell>
          <cell r="H67" t="str">
            <v>COLOMBIA. 15/05/11-21/05/11. REGIONAL WORKSHOP BY UN REDD PROGRAMME. ESTIMATING OPPORTUNITY COSTS AND IMPLEMENTATION COSTS OF REDD. FULL DSA AND T.EXP.</v>
          </cell>
          <cell r="I67">
            <v>1</v>
          </cell>
          <cell r="J67" t="str">
            <v>Approved</v>
          </cell>
          <cell r="K67" t="str">
            <v>Unapproved</v>
          </cell>
          <cell r="L67" t="str">
            <v>31/03/2011</v>
          </cell>
          <cell r="M67" t="str">
            <v>06/05/2011</v>
          </cell>
        </row>
        <row r="68">
          <cell r="A68">
            <v>118598</v>
          </cell>
          <cell r="B68" t="str">
            <v>405301</v>
          </cell>
          <cell r="C68" t="str">
            <v>USD</v>
          </cell>
          <cell r="D68">
            <v>1080</v>
          </cell>
          <cell r="E68" t="str">
            <v>Labbate, Gabriel</v>
          </cell>
          <cell r="F68" t="str">
            <v>Staff Member</v>
          </cell>
          <cell r="G68" t="str">
            <v>Official Business</v>
          </cell>
          <cell r="H68" t="str">
            <v>COLOMBIA. 15/05/11-21/05/11. REGIONAL WORKSHOP BY UN REDD PROGRAMME. ESTIMATING OPPORTUNITY COSTS AND IMPLEMENTATION COSTS OF REDD. FULL DSA AND T.EXP.</v>
          </cell>
          <cell r="I68">
            <v>1</v>
          </cell>
          <cell r="J68" t="str">
            <v>Approved</v>
          </cell>
          <cell r="K68" t="str">
            <v>Unapproved</v>
          </cell>
          <cell r="L68" t="str">
            <v>31/03/2011</v>
          </cell>
          <cell r="M68" t="str">
            <v>06/05/2011</v>
          </cell>
        </row>
        <row r="69">
          <cell r="A69">
            <v>119123</v>
          </cell>
          <cell r="B69" t="str">
            <v>557285</v>
          </cell>
          <cell r="C69" t="str">
            <v>USD</v>
          </cell>
          <cell r="D69">
            <v>152</v>
          </cell>
          <cell r="E69" t="str">
            <v>Thiaw, Ibrahim</v>
          </cell>
          <cell r="F69" t="str">
            <v>Staff Member</v>
          </cell>
          <cell r="G69" t="str">
            <v>Official Business</v>
          </cell>
          <cell r="H69" t="str">
            <v>Attend the UN High level mission to Indonesia on REDD+ from 24-27 May April, 2011. Jakarta, Indonesa. BCD Travel to issue return air ticket. DSA through EFT. S/m to be reimbursed special rate DSA for Shangri-La Hotel</v>
          </cell>
          <cell r="I69">
            <v>0</v>
          </cell>
          <cell r="J69" t="str">
            <v>Approved</v>
          </cell>
          <cell r="K69" t="str">
            <v>Unapproved</v>
          </cell>
          <cell r="L69" t="str">
            <v>11/04/2011</v>
          </cell>
          <cell r="M69" t="str">
            <v>19/04/2011</v>
          </cell>
        </row>
        <row r="70">
          <cell r="A70">
            <v>119123</v>
          </cell>
          <cell r="B70" t="str">
            <v>557285</v>
          </cell>
          <cell r="C70" t="str">
            <v>USD</v>
          </cell>
          <cell r="D70">
            <v>820</v>
          </cell>
          <cell r="E70" t="str">
            <v>Thiaw, Ibrahim</v>
          </cell>
          <cell r="F70" t="str">
            <v>Staff Member</v>
          </cell>
          <cell r="G70" t="str">
            <v>Official Business</v>
          </cell>
          <cell r="H70" t="str">
            <v>Attend the UN High level mission to Indonesia on REDD+ from 24-27 May April, 2011. Jakarta, Indonesa. BCD Travel to issue return air ticket. DSA through EFT. S/m to be reimbursed special rate DSA for Shangri-La Hotel</v>
          </cell>
          <cell r="I70">
            <v>0</v>
          </cell>
          <cell r="J70" t="str">
            <v>Approved</v>
          </cell>
          <cell r="K70" t="str">
            <v>Unapproved</v>
          </cell>
          <cell r="L70" t="str">
            <v>11/04/2011</v>
          </cell>
          <cell r="M70" t="str">
            <v>19/04/2011</v>
          </cell>
        </row>
        <row r="71">
          <cell r="A71">
            <v>119123</v>
          </cell>
          <cell r="B71" t="str">
            <v>557285</v>
          </cell>
          <cell r="C71" t="str">
            <v>USD</v>
          </cell>
          <cell r="D71">
            <v>3121</v>
          </cell>
          <cell r="E71" t="str">
            <v>Thiaw, Ibrahim</v>
          </cell>
          <cell r="F71" t="str">
            <v>Staff Member</v>
          </cell>
          <cell r="G71" t="str">
            <v>Official Business</v>
          </cell>
          <cell r="H71" t="str">
            <v>Attend the UN High level mission to Indonesia on REDD+ from 24-27 May April, 2011. Jakarta, Indonesa. BCD Travel to issue return air ticket. DSA through EFT. S/m to be reimbursed special rate DSA for Shangri-La Hotel</v>
          </cell>
          <cell r="I71">
            <v>0</v>
          </cell>
          <cell r="J71" t="str">
            <v>Approved</v>
          </cell>
          <cell r="K71" t="str">
            <v>Unapproved</v>
          </cell>
          <cell r="L71" t="str">
            <v>11/04/2011</v>
          </cell>
          <cell r="M71" t="str">
            <v>19/04/2011</v>
          </cell>
        </row>
        <row r="72">
          <cell r="A72">
            <v>119155</v>
          </cell>
          <cell r="B72" t="str">
            <v>965764</v>
          </cell>
          <cell r="C72" t="str">
            <v>USD</v>
          </cell>
          <cell r="D72">
            <v>30</v>
          </cell>
          <cell r="E72" t="str">
            <v>Martino, Diego</v>
          </cell>
          <cell r="F72" t="str">
            <v>Staff Member</v>
          </cell>
          <cell r="G72" t="str">
            <v>Official Business</v>
          </cell>
          <cell r="H72" t="str">
            <v>COLOMBIA, CALI. 15/05/11-21/05/11. PARTICIPATE IN UN REDD MISSION TO ATTEND A REGIONAL WORKSHOP ON ESTIMATING OPPORTUNITY COSTOS AND IMPLEMENTATION COSTS OF REDD+ FOR THE NATIONAL PLANNING PROCESS. FULL DSA AND T.EXP</v>
          </cell>
          <cell r="I72">
            <v>0</v>
          </cell>
          <cell r="J72" t="str">
            <v>Approved</v>
          </cell>
          <cell r="K72" t="str">
            <v>Unapproved</v>
          </cell>
          <cell r="L72" t="str">
            <v>11/04/2011</v>
          </cell>
          <cell r="M72" t="str">
            <v>13/04/2011</v>
          </cell>
        </row>
        <row r="73">
          <cell r="A73">
            <v>119155</v>
          </cell>
          <cell r="B73" t="str">
            <v>965764</v>
          </cell>
          <cell r="C73" t="str">
            <v>USD</v>
          </cell>
          <cell r="D73">
            <v>152</v>
          </cell>
          <cell r="E73" t="str">
            <v>Martino, Diego</v>
          </cell>
          <cell r="F73" t="str">
            <v>Staff Member</v>
          </cell>
          <cell r="G73" t="str">
            <v>Official Business</v>
          </cell>
          <cell r="H73" t="str">
            <v>COLOMBIA, CALI. 15/05/11-21/05/11. PARTICIPATE IN UN REDD MISSION TO ATTEND A REGIONAL WORKSHOP ON ESTIMATING OPPORTUNITY COSTOS AND IMPLEMENTATION COSTS OF REDD+ FOR THE NATIONAL PLANNING PROCESS. FULL DSA AND T.EXP</v>
          </cell>
          <cell r="I73">
            <v>0</v>
          </cell>
          <cell r="J73" t="str">
            <v>Approved</v>
          </cell>
          <cell r="K73" t="str">
            <v>Unapproved</v>
          </cell>
          <cell r="L73" t="str">
            <v>11/04/2011</v>
          </cell>
          <cell r="M73" t="str">
            <v>13/04/2011</v>
          </cell>
        </row>
        <row r="74">
          <cell r="A74">
            <v>119155</v>
          </cell>
          <cell r="B74" t="str">
            <v>965764</v>
          </cell>
          <cell r="C74" t="str">
            <v>USD</v>
          </cell>
          <cell r="D74">
            <v>1020</v>
          </cell>
          <cell r="E74" t="str">
            <v>Martino, Diego</v>
          </cell>
          <cell r="F74" t="str">
            <v>Staff Member</v>
          </cell>
          <cell r="G74" t="str">
            <v>Official Business</v>
          </cell>
          <cell r="H74" t="str">
            <v>COLOMBIA, CALI. 15/05/11-21/05/11. PARTICIPATE IN UN REDD MISSION TO ATTEND A REGIONAL WORKSHOP ON ESTIMATING OPPORTUNITY COSTOS AND IMPLEMENTATION COSTS OF REDD+ FOR THE NATIONAL PLANNING PROCESS. FULL DSA AND T.EXP</v>
          </cell>
          <cell r="I74">
            <v>0</v>
          </cell>
          <cell r="J74" t="str">
            <v>Approved</v>
          </cell>
          <cell r="K74" t="str">
            <v>Unapproved</v>
          </cell>
          <cell r="L74" t="str">
            <v>11/04/2011</v>
          </cell>
          <cell r="M74" t="str">
            <v>13/04/2011</v>
          </cell>
        </row>
        <row r="75">
          <cell r="A75">
            <v>119155</v>
          </cell>
          <cell r="B75" t="str">
            <v>965764</v>
          </cell>
          <cell r="C75" t="str">
            <v>USD</v>
          </cell>
          <cell r="D75">
            <v>1296</v>
          </cell>
          <cell r="E75" t="str">
            <v>Martino, Diego</v>
          </cell>
          <cell r="F75" t="str">
            <v>Staff Member</v>
          </cell>
          <cell r="G75" t="str">
            <v>Official Business</v>
          </cell>
          <cell r="H75" t="str">
            <v>COLOMBIA, CALI. 15/05/11-21/05/11. PARTICIPATE IN UN REDD MISSION TO ATTEND A REGIONAL WORKSHOP ON ESTIMATING OPPORTUNITY COSTOS AND IMPLEMENTATION COSTS OF REDD+ FOR THE NATIONAL PLANNING PROCESS. FULL DSA AND T.EXP</v>
          </cell>
          <cell r="I75">
            <v>0</v>
          </cell>
          <cell r="J75" t="str">
            <v>Approved</v>
          </cell>
          <cell r="K75" t="str">
            <v>Unapproved</v>
          </cell>
          <cell r="L75" t="str">
            <v>11/04/2011</v>
          </cell>
          <cell r="M75" t="str">
            <v>13/04/2011</v>
          </cell>
        </row>
        <row r="76">
          <cell r="A76">
            <v>120102</v>
          </cell>
          <cell r="B76" t="str">
            <v>536469</v>
          </cell>
          <cell r="C76" t="str">
            <v>USD</v>
          </cell>
          <cell r="D76">
            <v>152</v>
          </cell>
          <cell r="E76" t="str">
            <v>Boccucci, Mario</v>
          </cell>
          <cell r="F76" t="str">
            <v>Staff Member</v>
          </cell>
          <cell r="G76" t="str">
            <v>Official Business</v>
          </cell>
          <cell r="H76" t="str">
            <v>To participate in the Global Framework Revision Meeting from 4 to 6 May 2011 in Rome, Italy. s/m has meetings in Nairobi on 3 May until 6pm hence not able to take an earlier flight. Express Travel to issue ticket.</v>
          </cell>
          <cell r="I76">
            <v>1</v>
          </cell>
          <cell r="J76" t="str">
            <v>Approved</v>
          </cell>
          <cell r="K76" t="str">
            <v>Unapproved</v>
          </cell>
          <cell r="L76" t="str">
            <v>27/04/2011</v>
          </cell>
          <cell r="M76" t="str">
            <v>03/05/2011</v>
          </cell>
        </row>
        <row r="77">
          <cell r="A77">
            <v>120102</v>
          </cell>
          <cell r="B77" t="str">
            <v>536469</v>
          </cell>
          <cell r="C77" t="str">
            <v>USD</v>
          </cell>
          <cell r="D77">
            <v>1708</v>
          </cell>
          <cell r="E77" t="str">
            <v>Boccucci, Mario</v>
          </cell>
          <cell r="F77" t="str">
            <v>Staff Member</v>
          </cell>
          <cell r="G77" t="str">
            <v>Official Business</v>
          </cell>
          <cell r="H77" t="str">
            <v>To participate in the Global Framework Revision Meeting from 4 to 6 May 2011 in Rome, Italy. s/m has meetings in Nairobi on 3 May until 6pm hence not able to take an earlier flight. Express Travel to issue ticket.</v>
          </cell>
          <cell r="I77">
            <v>1</v>
          </cell>
          <cell r="J77" t="str">
            <v>Approved</v>
          </cell>
          <cell r="K77" t="str">
            <v>Unapproved</v>
          </cell>
          <cell r="L77" t="str">
            <v>27/04/2011</v>
          </cell>
          <cell r="M77" t="str">
            <v>03/05/2011</v>
          </cell>
        </row>
        <row r="78">
          <cell r="A78">
            <v>120102</v>
          </cell>
          <cell r="B78" t="str">
            <v>536469</v>
          </cell>
          <cell r="C78" t="str">
            <v>USD</v>
          </cell>
          <cell r="D78">
            <v>2862.1</v>
          </cell>
          <cell r="E78" t="str">
            <v>Boccucci, Mario</v>
          </cell>
          <cell r="F78" t="str">
            <v>Staff Member</v>
          </cell>
          <cell r="G78" t="str">
            <v>Official Business</v>
          </cell>
          <cell r="H78" t="str">
            <v>To participate in the Global Framework Revision Meeting from 4 to 6 May 2011 in Rome, Italy. s/m has meetings in Nairobi on 3 May until 6pm hence not able to take an earlier flight. Express Travel to issue ticket.</v>
          </cell>
          <cell r="I78">
            <v>1</v>
          </cell>
          <cell r="J78" t="str">
            <v>Approved</v>
          </cell>
          <cell r="K78" t="str">
            <v>Unapproved</v>
          </cell>
          <cell r="L78" t="str">
            <v>27/04/2011</v>
          </cell>
          <cell r="M78" t="str">
            <v>03/05/2011</v>
          </cell>
        </row>
        <row r="79">
          <cell r="A79">
            <v>120103</v>
          </cell>
          <cell r="B79" t="str">
            <v>215967</v>
          </cell>
          <cell r="C79" t="str">
            <v>USD</v>
          </cell>
          <cell r="D79">
            <v>228</v>
          </cell>
          <cell r="E79" t="str">
            <v>Prabhu, Ravindra</v>
          </cell>
          <cell r="F79" t="str">
            <v>Staff Member</v>
          </cell>
          <cell r="G79" t="str">
            <v>Official Business</v>
          </cell>
          <cell r="H79" t="str">
            <v>To participate in the Global Framework Revision Meeting from 4 to 5 May 2011 in Rome, Italy. To participate in the UNEP FI and Globe Legislators mtg in London, UK from 6 to 10 May 2011. Express Travel to issue ticket.</v>
          </cell>
          <cell r="I79">
            <v>1</v>
          </cell>
          <cell r="J79" t="str">
            <v>Approved</v>
          </cell>
          <cell r="K79" t="str">
            <v>Unapproved</v>
          </cell>
          <cell r="L79" t="str">
            <v>27/04/2011</v>
          </cell>
          <cell r="M79" t="str">
            <v>03/05/2011</v>
          </cell>
        </row>
        <row r="80">
          <cell r="A80">
            <v>120103</v>
          </cell>
          <cell r="B80" t="str">
            <v>215967</v>
          </cell>
          <cell r="C80" t="str">
            <v>USD</v>
          </cell>
          <cell r="D80">
            <v>854</v>
          </cell>
          <cell r="E80" t="str">
            <v>Prabhu, Ravindra</v>
          </cell>
          <cell r="F80" t="str">
            <v>Staff Member</v>
          </cell>
          <cell r="G80" t="str">
            <v>Official Business</v>
          </cell>
          <cell r="H80" t="str">
            <v>To participate in the Global Framework Revision Meeting from 4 to 5 May 2011 in Rome, Italy. To participate in the UNEP FI and Globe Legislators mtg in London, UK from 6 to 10 May 2011. Express Travel to issue ticket.</v>
          </cell>
          <cell r="I80">
            <v>1</v>
          </cell>
          <cell r="J80" t="str">
            <v>Approved</v>
          </cell>
          <cell r="K80" t="str">
            <v>Unapproved</v>
          </cell>
          <cell r="L80" t="str">
            <v>27/04/2011</v>
          </cell>
          <cell r="M80" t="str">
            <v>03/05/2011</v>
          </cell>
        </row>
        <row r="81">
          <cell r="A81">
            <v>120103</v>
          </cell>
          <cell r="B81" t="str">
            <v>215967</v>
          </cell>
          <cell r="C81" t="str">
            <v>USD</v>
          </cell>
          <cell r="D81">
            <v>2191.4</v>
          </cell>
          <cell r="E81" t="str">
            <v>Prabhu, Ravindra</v>
          </cell>
          <cell r="F81" t="str">
            <v>Staff Member</v>
          </cell>
          <cell r="G81" t="str">
            <v>Official Business</v>
          </cell>
          <cell r="H81" t="str">
            <v>To participate in the Global Framework Revision Meeting from 4 to 5 May 2011 in Rome, Italy. To participate in the UNEP FI and Globe Legislators mtg in London, UK from 6 to 10 May 2011. Express Travel to issue ticket.</v>
          </cell>
          <cell r="I81">
            <v>1</v>
          </cell>
          <cell r="J81" t="str">
            <v>Approved</v>
          </cell>
          <cell r="K81" t="str">
            <v>Unapproved</v>
          </cell>
          <cell r="L81" t="str">
            <v>27/04/2011</v>
          </cell>
          <cell r="M81" t="str">
            <v>03/05/2011</v>
          </cell>
        </row>
        <row r="82">
          <cell r="A82">
            <v>120103</v>
          </cell>
          <cell r="B82" t="str">
            <v>215967</v>
          </cell>
          <cell r="C82" t="str">
            <v>USD</v>
          </cell>
          <cell r="D82">
            <v>2361.1</v>
          </cell>
          <cell r="E82" t="str">
            <v>Prabhu, Ravindra</v>
          </cell>
          <cell r="F82" t="str">
            <v>Staff Member</v>
          </cell>
          <cell r="G82" t="str">
            <v>Official Business</v>
          </cell>
          <cell r="H82" t="str">
            <v>To participate in the Global Framework Revision Meeting from 4 to 5 May 2011 in Rome, Italy. To participate in the UNEP FI and Globe Legislators mtg in London, UK from 6 to 10 May 2011. Express Travel to issue ticket.</v>
          </cell>
          <cell r="I82">
            <v>1</v>
          </cell>
          <cell r="J82" t="str">
            <v>Approved</v>
          </cell>
          <cell r="K82" t="str">
            <v>Unapproved</v>
          </cell>
          <cell r="L82" t="str">
            <v>27/04/2011</v>
          </cell>
          <cell r="M82" t="str">
            <v>03/05/2011</v>
          </cell>
        </row>
        <row r="83">
          <cell r="A83">
            <v>120103</v>
          </cell>
          <cell r="B83" t="str">
            <v>215967</v>
          </cell>
          <cell r="C83" t="str">
            <v>USD</v>
          </cell>
          <cell r="D83">
            <v>2556</v>
          </cell>
          <cell r="E83" t="str">
            <v>Prabhu, Ravindra</v>
          </cell>
          <cell r="F83" t="str">
            <v>Staff Member</v>
          </cell>
          <cell r="G83" t="str">
            <v>Official Business</v>
          </cell>
          <cell r="H83" t="str">
            <v>To participate in the Global Framework Revision Meeting from 4 to 5 May 2011 in Rome, Italy. To participate in the UNEP FI and Globe Legislators mtg in London, UK from 6 to 10 May 2011. Express Travel to issue ticket.</v>
          </cell>
          <cell r="I83">
            <v>1</v>
          </cell>
          <cell r="J83" t="str">
            <v>Approved</v>
          </cell>
          <cell r="K83" t="str">
            <v>Unapproved</v>
          </cell>
          <cell r="L83" t="str">
            <v>27/04/2011</v>
          </cell>
          <cell r="M83" t="str">
            <v>03/05/2011</v>
          </cell>
        </row>
        <row r="84">
          <cell r="A84">
            <v>120104</v>
          </cell>
          <cell r="B84" t="str">
            <v>326804</v>
          </cell>
          <cell r="C84" t="str">
            <v>USD</v>
          </cell>
          <cell r="D84">
            <v>152</v>
          </cell>
          <cell r="E84" t="str">
            <v>Greenwalt, Julie</v>
          </cell>
          <cell r="F84" t="str">
            <v>Staff Member</v>
          </cell>
          <cell r="G84" t="str">
            <v>Official Business</v>
          </cell>
          <cell r="H84" t="str">
            <v>To participate in the UN-REDD Communications and Knowledge Management Strategy Meeting from 24 to 25 May 2011 in Geneva, Switzerland. Express Travel to issue ticket.</v>
          </cell>
          <cell r="I84">
            <v>1</v>
          </cell>
          <cell r="J84" t="str">
            <v>Approved</v>
          </cell>
          <cell r="K84" t="str">
            <v>Unapproved</v>
          </cell>
          <cell r="L84" t="str">
            <v>27/04/2011</v>
          </cell>
          <cell r="M84" t="str">
            <v>17/05/2011</v>
          </cell>
        </row>
        <row r="85">
          <cell r="A85">
            <v>120104</v>
          </cell>
          <cell r="B85" t="str">
            <v>326804</v>
          </cell>
          <cell r="C85" t="str">
            <v>USD</v>
          </cell>
          <cell r="D85">
            <v>844</v>
          </cell>
          <cell r="E85" t="str">
            <v>Greenwalt, Julie</v>
          </cell>
          <cell r="F85" t="str">
            <v>Staff Member</v>
          </cell>
          <cell r="G85" t="str">
            <v>Official Business</v>
          </cell>
          <cell r="H85" t="str">
            <v>To participate in the UN-REDD Communications and Knowledge Management Strategy Meeting from 24 to 25 May 2011 in Geneva, Switzerland. Express Travel to issue ticket.</v>
          </cell>
          <cell r="I85">
            <v>1</v>
          </cell>
          <cell r="J85" t="str">
            <v>Approved</v>
          </cell>
          <cell r="K85" t="str">
            <v>Unapproved</v>
          </cell>
          <cell r="L85" t="str">
            <v>27/04/2011</v>
          </cell>
          <cell r="M85" t="str">
            <v>17/05/2011</v>
          </cell>
        </row>
        <row r="86">
          <cell r="A86">
            <v>120104</v>
          </cell>
          <cell r="B86" t="str">
            <v>326804</v>
          </cell>
          <cell r="C86" t="str">
            <v>USD</v>
          </cell>
          <cell r="D86">
            <v>1969</v>
          </cell>
          <cell r="E86" t="str">
            <v>Greenwalt, Julie</v>
          </cell>
          <cell r="F86" t="str">
            <v>Staff Member</v>
          </cell>
          <cell r="G86" t="str">
            <v>Official Business</v>
          </cell>
          <cell r="H86" t="str">
            <v>To participate in the UN-REDD Communications and Knowledge Management Strategy Meeting from 24 to 25 May 2011 in Geneva, Switzerland. Express Travel to issue ticket.</v>
          </cell>
          <cell r="I86">
            <v>1</v>
          </cell>
          <cell r="J86" t="str">
            <v>Approved</v>
          </cell>
          <cell r="K86" t="str">
            <v>Unapproved</v>
          </cell>
          <cell r="L86" t="str">
            <v>27/04/2011</v>
          </cell>
          <cell r="M86" t="str">
            <v>17/05/2011</v>
          </cell>
        </row>
        <row r="87">
          <cell r="A87">
            <v>120485</v>
          </cell>
          <cell r="B87" t="str">
            <v>326804</v>
          </cell>
          <cell r="C87" t="str">
            <v>USD</v>
          </cell>
          <cell r="D87">
            <v>150</v>
          </cell>
          <cell r="E87" t="str">
            <v>Greenwalt, Julie</v>
          </cell>
          <cell r="F87" t="str">
            <v>Staff Member</v>
          </cell>
          <cell r="G87" t="str">
            <v>Official Business</v>
          </cell>
          <cell r="H87" t="str">
            <v>Meeting with UNEP WCMC on communications and publications held in Cambridge, UK from 17 to 18 May 2011. Express travel to issue ticket.</v>
          </cell>
          <cell r="I87">
            <v>0</v>
          </cell>
          <cell r="J87" t="str">
            <v>Approved</v>
          </cell>
          <cell r="K87" t="str">
            <v>Unapproved</v>
          </cell>
          <cell r="L87" t="str">
            <v>04/05/2011</v>
          </cell>
          <cell r="M87" t="str">
            <v>09/05/2011</v>
          </cell>
        </row>
        <row r="88">
          <cell r="A88">
            <v>120485</v>
          </cell>
          <cell r="B88" t="str">
            <v>326804</v>
          </cell>
          <cell r="C88" t="str">
            <v>USD</v>
          </cell>
          <cell r="D88">
            <v>152</v>
          </cell>
          <cell r="E88" t="str">
            <v>Greenwalt, Julie</v>
          </cell>
          <cell r="F88" t="str">
            <v>Staff Member</v>
          </cell>
          <cell r="G88" t="str">
            <v>Official Business</v>
          </cell>
          <cell r="H88" t="str">
            <v>Meeting with UNEP WCMC on communications and publications held in Cambridge, UK from 17 to 18 May 2011. Express travel to issue ticket.</v>
          </cell>
          <cell r="I88">
            <v>0</v>
          </cell>
          <cell r="J88" t="str">
            <v>Approved</v>
          </cell>
          <cell r="K88" t="str">
            <v>Unapproved</v>
          </cell>
          <cell r="L88" t="str">
            <v>04/05/2011</v>
          </cell>
          <cell r="M88" t="str">
            <v>09/05/2011</v>
          </cell>
        </row>
        <row r="89">
          <cell r="A89">
            <v>120485</v>
          </cell>
          <cell r="B89" t="str">
            <v>326804</v>
          </cell>
          <cell r="C89" t="str">
            <v>USD</v>
          </cell>
          <cell r="D89">
            <v>1148.9000000000001</v>
          </cell>
          <cell r="E89" t="str">
            <v>Greenwalt, Julie</v>
          </cell>
          <cell r="F89" t="str">
            <v>Staff Member</v>
          </cell>
          <cell r="G89" t="str">
            <v>Official Business</v>
          </cell>
          <cell r="H89" t="str">
            <v>Meeting with UNEP WCMC on communications and publications held in Cambridge, UK from 17 to 18 May 2011. Express travel to issue ticket.</v>
          </cell>
          <cell r="I89">
            <v>0</v>
          </cell>
          <cell r="J89" t="str">
            <v>Approved</v>
          </cell>
          <cell r="K89" t="str">
            <v>Unapproved</v>
          </cell>
          <cell r="L89" t="str">
            <v>04/05/2011</v>
          </cell>
          <cell r="M89" t="str">
            <v>09/05/2011</v>
          </cell>
        </row>
        <row r="90">
          <cell r="A90">
            <v>120485</v>
          </cell>
          <cell r="B90" t="str">
            <v>326804</v>
          </cell>
          <cell r="C90" t="str">
            <v>USD</v>
          </cell>
          <cell r="D90">
            <v>1252</v>
          </cell>
          <cell r="E90" t="str">
            <v>Greenwalt, Julie</v>
          </cell>
          <cell r="F90" t="str">
            <v>Staff Member</v>
          </cell>
          <cell r="G90" t="str">
            <v>Official Business</v>
          </cell>
          <cell r="H90" t="str">
            <v>Meeting with UNEP WCMC on communications and publications held in Cambridge, UK from 17 to 18 May 2011. Express travel to issue ticket.</v>
          </cell>
          <cell r="I90">
            <v>0</v>
          </cell>
          <cell r="J90" t="str">
            <v>Approved</v>
          </cell>
          <cell r="K90" t="str">
            <v>Unapproved</v>
          </cell>
          <cell r="L90" t="str">
            <v>04/05/2011</v>
          </cell>
          <cell r="M90" t="str">
            <v>09/05/2011</v>
          </cell>
        </row>
        <row r="91">
          <cell r="A91">
            <v>120488</v>
          </cell>
          <cell r="B91" t="str">
            <v>334906</v>
          </cell>
          <cell r="C91" t="str">
            <v>USD</v>
          </cell>
          <cell r="D91">
            <v>150</v>
          </cell>
          <cell r="E91" t="str">
            <v>Shah, Wahida</v>
          </cell>
          <cell r="F91" t="str">
            <v>Staff Member</v>
          </cell>
          <cell r="G91" t="str">
            <v>Official Business</v>
          </cell>
          <cell r="H91" t="str">
            <v>To attend the UN-REDD meeting on Social and Environmental Principles in Cambridge, UK from 17 to 18 May 2011. Express travel to issue ticket.</v>
          </cell>
          <cell r="I91">
            <v>0</v>
          </cell>
          <cell r="J91" t="str">
            <v>Approved</v>
          </cell>
          <cell r="K91" t="str">
            <v>Unapproved</v>
          </cell>
          <cell r="L91" t="str">
            <v>04/05/2011</v>
          </cell>
          <cell r="M91" t="str">
            <v>09/05/2011</v>
          </cell>
        </row>
        <row r="92">
          <cell r="A92">
            <v>120488</v>
          </cell>
          <cell r="B92" t="str">
            <v>334906</v>
          </cell>
          <cell r="C92" t="str">
            <v>USD</v>
          </cell>
          <cell r="D92">
            <v>152</v>
          </cell>
          <cell r="E92" t="str">
            <v>Shah, Wahida</v>
          </cell>
          <cell r="F92" t="str">
            <v>Staff Member</v>
          </cell>
          <cell r="G92" t="str">
            <v>Official Business</v>
          </cell>
          <cell r="H92" t="str">
            <v>To attend the UN-REDD meeting on Social and Environmental Principles in Cambridge, UK from 17 to 18 May 2011. Express travel to issue ticket.</v>
          </cell>
          <cell r="I92">
            <v>0</v>
          </cell>
          <cell r="J92" t="str">
            <v>Approved</v>
          </cell>
          <cell r="K92" t="str">
            <v>Unapproved</v>
          </cell>
          <cell r="L92" t="str">
            <v>04/05/2011</v>
          </cell>
          <cell r="M92" t="str">
            <v>09/05/2011</v>
          </cell>
        </row>
        <row r="93">
          <cell r="A93">
            <v>120488</v>
          </cell>
          <cell r="B93" t="str">
            <v>334906</v>
          </cell>
          <cell r="C93" t="str">
            <v>USD</v>
          </cell>
          <cell r="D93">
            <v>1148.9000000000001</v>
          </cell>
          <cell r="E93" t="str">
            <v>Shah, Wahida</v>
          </cell>
          <cell r="F93" t="str">
            <v>Staff Member</v>
          </cell>
          <cell r="G93" t="str">
            <v>Official Business</v>
          </cell>
          <cell r="H93" t="str">
            <v>To attend the UN-REDD meeting on Social and Environmental Principles in Cambridge, UK from 17 to 18 May 2011. Express travel to issue ticket.</v>
          </cell>
          <cell r="I93">
            <v>0</v>
          </cell>
          <cell r="J93" t="str">
            <v>Approved</v>
          </cell>
          <cell r="K93" t="str">
            <v>Unapproved</v>
          </cell>
          <cell r="L93" t="str">
            <v>04/05/2011</v>
          </cell>
          <cell r="M93" t="str">
            <v>09/05/2011</v>
          </cell>
        </row>
        <row r="94">
          <cell r="A94">
            <v>120488</v>
          </cell>
          <cell r="B94" t="str">
            <v>334906</v>
          </cell>
          <cell r="C94" t="str">
            <v>USD</v>
          </cell>
          <cell r="D94">
            <v>1252</v>
          </cell>
          <cell r="E94" t="str">
            <v>Shah, Wahida</v>
          </cell>
          <cell r="F94" t="str">
            <v>Staff Member</v>
          </cell>
          <cell r="G94" t="str">
            <v>Official Business</v>
          </cell>
          <cell r="H94" t="str">
            <v>To attend the UN-REDD meeting on Social and Environmental Principles in Cambridge, UK from 17 to 18 May 2011. Express travel to issue ticket.</v>
          </cell>
          <cell r="I94">
            <v>0</v>
          </cell>
          <cell r="J94" t="str">
            <v>Approved</v>
          </cell>
          <cell r="K94" t="str">
            <v>Unapproved</v>
          </cell>
          <cell r="L94" t="str">
            <v>04/05/2011</v>
          </cell>
          <cell r="M94" t="str">
            <v>09/05/2011</v>
          </cell>
        </row>
        <row r="95">
          <cell r="A95">
            <v>120636</v>
          </cell>
          <cell r="B95" t="str">
            <v>501080</v>
          </cell>
          <cell r="C95" t="str">
            <v>USD</v>
          </cell>
          <cell r="D95">
            <v>426</v>
          </cell>
          <cell r="E95" t="str">
            <v>Guay, Bruno</v>
          </cell>
          <cell r="F95" t="str">
            <v>Consultant</v>
          </cell>
          <cell r="G95" t="str">
            <v>Official Business</v>
          </cell>
          <cell r="H95" t="str">
            <v>Meeting participant to attend the UN-REDD UNEP FI meeting in London, UK on 6 May 2011. Participant will depart London on 10 May as he'l attend other mtgs and DSA for those days to be covered by CN-REDD. Express travel to issue ticket.</v>
          </cell>
          <cell r="I95">
            <v>0</v>
          </cell>
          <cell r="J95" t="str">
            <v>Approved</v>
          </cell>
          <cell r="K95" t="str">
            <v>Unapproved</v>
          </cell>
          <cell r="L95" t="str">
            <v>05/05/2011</v>
          </cell>
          <cell r="M95" t="str">
            <v>05/05/2011</v>
          </cell>
        </row>
        <row r="96">
          <cell r="A96">
            <v>120636</v>
          </cell>
          <cell r="B96" t="str">
            <v>501080</v>
          </cell>
          <cell r="C96" t="str">
            <v>USD</v>
          </cell>
          <cell r="D96">
            <v>2339</v>
          </cell>
          <cell r="E96" t="str">
            <v>Guay, Bruno</v>
          </cell>
          <cell r="F96" t="str">
            <v>Consultant</v>
          </cell>
          <cell r="G96" t="str">
            <v>Official Business</v>
          </cell>
          <cell r="H96" t="str">
            <v>Meeting participant to attend the UN-REDD UNEP FI meeting in London, UK on 6 May 2011. Participant will depart London on 10 May as he'l attend other mtgs and DSA for those days to be covered by CN-REDD. Express travel to issue ticket.</v>
          </cell>
          <cell r="I96">
            <v>0</v>
          </cell>
          <cell r="J96" t="str">
            <v>Approved</v>
          </cell>
          <cell r="K96" t="str">
            <v>Unapproved</v>
          </cell>
          <cell r="L96" t="str">
            <v>05/05/2011</v>
          </cell>
          <cell r="M96" t="str">
            <v>05/05/2011</v>
          </cell>
        </row>
        <row r="97">
          <cell r="A97">
            <v>120716</v>
          </cell>
          <cell r="B97" t="str">
            <v>514700</v>
          </cell>
          <cell r="C97" t="str">
            <v>USD</v>
          </cell>
          <cell r="D97">
            <v>152</v>
          </cell>
          <cell r="E97" t="str">
            <v>Zandomeneghi, Massimiliano</v>
          </cell>
          <cell r="F97" t="str">
            <v>Staff Member</v>
          </cell>
          <cell r="G97" t="str">
            <v>Official Business</v>
          </cell>
          <cell r="H97" t="str">
            <v>To participate in the UN-REDD Scoping Mission in Lusaka, Zambia from 11 to 12 May 2011. Express Travel to issue ticket.</v>
          </cell>
          <cell r="I97">
            <v>0</v>
          </cell>
          <cell r="J97" t="str">
            <v>Approved</v>
          </cell>
          <cell r="K97" t="str">
            <v>Unapproved</v>
          </cell>
          <cell r="L97" t="str">
            <v>06/05/2011</v>
          </cell>
          <cell r="M97" t="str">
            <v>09/05/2011</v>
          </cell>
        </row>
        <row r="98">
          <cell r="A98">
            <v>120716</v>
          </cell>
          <cell r="B98" t="str">
            <v>514700</v>
          </cell>
          <cell r="C98" t="str">
            <v>USD</v>
          </cell>
          <cell r="D98">
            <v>744</v>
          </cell>
          <cell r="E98" t="str">
            <v>Zandomeneghi, Massimiliano</v>
          </cell>
          <cell r="F98" t="str">
            <v>Staff Member</v>
          </cell>
          <cell r="G98" t="str">
            <v>Official Business</v>
          </cell>
          <cell r="H98" t="str">
            <v>To participate in the UN-REDD Scoping Mission in Lusaka, Zambia from 11 to 12 May 2011. Express Travel to issue ticket.</v>
          </cell>
          <cell r="I98">
            <v>0</v>
          </cell>
          <cell r="J98" t="str">
            <v>Approved</v>
          </cell>
          <cell r="K98" t="str">
            <v>Unapproved</v>
          </cell>
          <cell r="L98" t="str">
            <v>06/05/2011</v>
          </cell>
          <cell r="M98" t="str">
            <v>09/05/2011</v>
          </cell>
        </row>
        <row r="99">
          <cell r="A99">
            <v>120716</v>
          </cell>
          <cell r="B99" t="str">
            <v>514700</v>
          </cell>
          <cell r="C99" t="str">
            <v>USD</v>
          </cell>
          <cell r="D99">
            <v>859.1</v>
          </cell>
          <cell r="E99" t="str">
            <v>Zandomeneghi, Massimiliano</v>
          </cell>
          <cell r="F99" t="str">
            <v>Staff Member</v>
          </cell>
          <cell r="G99" t="str">
            <v>Official Business</v>
          </cell>
          <cell r="H99" t="str">
            <v>To participate in the UN-REDD Scoping Mission in Lusaka, Zambia from 11 to 12 May 2011. Express Travel to issue ticket.</v>
          </cell>
          <cell r="I99">
            <v>0</v>
          </cell>
          <cell r="J99" t="str">
            <v>Approved</v>
          </cell>
          <cell r="K99" t="str">
            <v>Unapproved</v>
          </cell>
          <cell r="L99" t="str">
            <v>06/05/2011</v>
          </cell>
          <cell r="M99" t="str">
            <v>09/05/2011</v>
          </cell>
        </row>
        <row r="100">
          <cell r="A100">
            <v>120717</v>
          </cell>
          <cell r="B100" t="str">
            <v>215967</v>
          </cell>
          <cell r="C100" t="str">
            <v>USD</v>
          </cell>
          <cell r="D100">
            <v>152</v>
          </cell>
          <cell r="E100" t="str">
            <v>Prabhu, Ravindra</v>
          </cell>
          <cell r="F100" t="str">
            <v>Staff Member</v>
          </cell>
          <cell r="G100" t="str">
            <v>Official Business</v>
          </cell>
          <cell r="H100" t="str">
            <v>To participate in the Expert Mtg on Governance of Forests and REDD+ from 19 to 20 May 2011 in Rome, Italy. Express Travel to issue ticket.</v>
          </cell>
          <cell r="I100">
            <v>0</v>
          </cell>
          <cell r="J100" t="str">
            <v>Approved</v>
          </cell>
          <cell r="K100" t="str">
            <v>Unapproved</v>
          </cell>
          <cell r="L100" t="str">
            <v>06/05/2011</v>
          </cell>
          <cell r="M100" t="str">
            <v>09/05/2011</v>
          </cell>
        </row>
        <row r="101">
          <cell r="A101">
            <v>120717</v>
          </cell>
          <cell r="B101" t="str">
            <v>215967</v>
          </cell>
          <cell r="C101" t="str">
            <v>USD</v>
          </cell>
          <cell r="D101">
            <v>1347</v>
          </cell>
          <cell r="E101" t="str">
            <v>Prabhu, Ravindra</v>
          </cell>
          <cell r="F101" t="str">
            <v>Staff Member</v>
          </cell>
          <cell r="G101" t="str">
            <v>Official Business</v>
          </cell>
          <cell r="H101" t="str">
            <v>To participate in the Expert Mtg on Governance of Forests and REDD+ from 19 to 20 May 2011 in Rome, Italy. Express Travel to issue ticket.</v>
          </cell>
          <cell r="I101">
            <v>0</v>
          </cell>
          <cell r="J101" t="str">
            <v>Approved</v>
          </cell>
          <cell r="K101" t="str">
            <v>Unapproved</v>
          </cell>
          <cell r="L101" t="str">
            <v>06/05/2011</v>
          </cell>
          <cell r="M101" t="str">
            <v>09/05/2011</v>
          </cell>
        </row>
        <row r="102">
          <cell r="A102">
            <v>120717</v>
          </cell>
          <cell r="B102" t="str">
            <v>215967</v>
          </cell>
          <cell r="C102" t="str">
            <v>USD</v>
          </cell>
          <cell r="D102">
            <v>1751.2</v>
          </cell>
          <cell r="E102" t="str">
            <v>Prabhu, Ravindra</v>
          </cell>
          <cell r="F102" t="str">
            <v>Staff Member</v>
          </cell>
          <cell r="G102" t="str">
            <v>Official Business</v>
          </cell>
          <cell r="H102" t="str">
            <v>To participate in the Expert Mtg on Governance of Forests and REDD+ from 19 to 20 May 2011 in Rome, Italy. Express Travel to issue ticket.</v>
          </cell>
          <cell r="I102">
            <v>0</v>
          </cell>
          <cell r="J102" t="str">
            <v>Approved</v>
          </cell>
          <cell r="K102" t="str">
            <v>Unapproved</v>
          </cell>
          <cell r="L102" t="str">
            <v>06/05/2011</v>
          </cell>
          <cell r="M102" t="str">
            <v>09/05/2011</v>
          </cell>
        </row>
        <row r="103">
          <cell r="A103">
            <v>120971</v>
          </cell>
          <cell r="B103" t="str">
            <v>326804</v>
          </cell>
          <cell r="C103" t="str">
            <v>USD</v>
          </cell>
          <cell r="D103">
            <v>3207</v>
          </cell>
          <cell r="E103" t="str">
            <v>Greenwalt, Julie</v>
          </cell>
          <cell r="F103" t="str">
            <v>Staff Member</v>
          </cell>
          <cell r="G103" t="str">
            <v>Home Leave</v>
          </cell>
          <cell r="H103" t="str">
            <v>2011 Home leave.S/M opted for lumpsum EFT to First Financial Federal Credit Union of Mayland A/c 190445098.</v>
          </cell>
          <cell r="I103">
            <v>0</v>
          </cell>
          <cell r="J103" t="str">
            <v>Approved</v>
          </cell>
          <cell r="K103" t="str">
            <v>Unapproved</v>
          </cell>
          <cell r="L103" t="str">
            <v>11/05/2011</v>
          </cell>
          <cell r="M103" t="str">
            <v>13/05/2011</v>
          </cell>
        </row>
        <row r="104">
          <cell r="A104">
            <v>121923</v>
          </cell>
          <cell r="B104" t="str">
            <v>215967</v>
          </cell>
          <cell r="C104" t="str">
            <v>USD</v>
          </cell>
          <cell r="D104">
            <v>1823.19</v>
          </cell>
          <cell r="E104" t="str">
            <v>Prabhu, Ravindra</v>
          </cell>
          <cell r="F104" t="str">
            <v>Staff Member</v>
          </cell>
          <cell r="G104" t="str">
            <v>Home Leave</v>
          </cell>
          <cell r="H104" t="str">
            <v>2011 Home Leave. S/M opted for ticket option</v>
          </cell>
          <cell r="I104">
            <v>0</v>
          </cell>
          <cell r="J104" t="str">
            <v>Approved</v>
          </cell>
          <cell r="K104" t="str">
            <v>Unapproved</v>
          </cell>
          <cell r="L104" t="str">
            <v>25/05/2011</v>
          </cell>
          <cell r="M104" t="str">
            <v>27/05/2011</v>
          </cell>
        </row>
        <row r="105">
          <cell r="A105">
            <v>121923</v>
          </cell>
          <cell r="B105" t="str">
            <v>215967</v>
          </cell>
          <cell r="C105" t="str">
            <v>USD</v>
          </cell>
          <cell r="D105">
            <v>1979.19</v>
          </cell>
          <cell r="E105" t="str">
            <v>Prabhu, Ravindra</v>
          </cell>
          <cell r="F105" t="str">
            <v>Staff Member</v>
          </cell>
          <cell r="G105" t="str">
            <v>Home Leave</v>
          </cell>
          <cell r="H105" t="str">
            <v>2011 Home Leave. S/M opted for ticket option</v>
          </cell>
          <cell r="I105">
            <v>0</v>
          </cell>
          <cell r="J105" t="str">
            <v>Approved</v>
          </cell>
          <cell r="K105" t="str">
            <v>Unapproved</v>
          </cell>
          <cell r="L105" t="str">
            <v>25/05/2011</v>
          </cell>
          <cell r="M105" t="str">
            <v>27/05/2011</v>
          </cell>
        </row>
        <row r="106">
          <cell r="A106">
            <v>122912</v>
          </cell>
          <cell r="B106" t="str">
            <v>334906</v>
          </cell>
          <cell r="C106" t="str">
            <v>USD</v>
          </cell>
          <cell r="D106">
            <v>0</v>
          </cell>
          <cell r="E106" t="str">
            <v>Shah, Wahida</v>
          </cell>
          <cell r="F106" t="str">
            <v>Staff Member</v>
          </cell>
          <cell r="G106" t="str">
            <v>Official Business</v>
          </cell>
          <cell r="H106" t="str">
            <v>To participate in the Rwanda REDD Tropical Forest for Monitoring Workshop in Kigali, Rwanda.  Ticket to be issued by WoodsHole Research Centre and UNEP to pay DSA and terminal.</v>
          </cell>
          <cell r="I106">
            <v>0</v>
          </cell>
          <cell r="J106" t="str">
            <v>Approved</v>
          </cell>
          <cell r="K106" t="str">
            <v>Unapproved</v>
          </cell>
          <cell r="L106" t="str">
            <v>10/06/2011</v>
          </cell>
          <cell r="M106" t="str">
            <v>10/06/2011</v>
          </cell>
        </row>
        <row r="107">
          <cell r="A107">
            <v>122912</v>
          </cell>
          <cell r="B107" t="str">
            <v>334906</v>
          </cell>
          <cell r="C107" t="str">
            <v>USD</v>
          </cell>
          <cell r="D107">
            <v>152</v>
          </cell>
          <cell r="E107" t="str">
            <v>Shah, Wahida</v>
          </cell>
          <cell r="F107" t="str">
            <v>Staff Member</v>
          </cell>
          <cell r="G107" t="str">
            <v>Official Business</v>
          </cell>
          <cell r="H107" t="str">
            <v>To participate in the Rwanda REDD Tropical Forest for Monitoring Workshop in Kigali, Rwanda.  Ticket to be issued by WoodsHole Research Centre and UNEP to pay DSA and terminal.</v>
          </cell>
          <cell r="I107">
            <v>0</v>
          </cell>
          <cell r="J107" t="str">
            <v>Approved</v>
          </cell>
          <cell r="K107" t="str">
            <v>Unapproved</v>
          </cell>
          <cell r="L107" t="str">
            <v>10/06/2011</v>
          </cell>
          <cell r="M107" t="str">
            <v>10/06/2011</v>
          </cell>
        </row>
        <row r="108">
          <cell r="A108">
            <v>122912</v>
          </cell>
          <cell r="B108" t="str">
            <v>334906</v>
          </cell>
          <cell r="C108" t="str">
            <v>USD</v>
          </cell>
          <cell r="D108">
            <v>402</v>
          </cell>
          <cell r="E108" t="str">
            <v>Shah, Wahida</v>
          </cell>
          <cell r="F108" t="str">
            <v>Staff Member</v>
          </cell>
          <cell r="G108" t="str">
            <v>Official Business</v>
          </cell>
          <cell r="H108" t="str">
            <v>To participate in the Rwanda REDD Tropical Forest for Monitoring Workshop in Kigali, Rwanda.  Ticket to be issued by WoodsHole Research Centre and UNEP to pay DSA and terminal.</v>
          </cell>
          <cell r="I108">
            <v>0</v>
          </cell>
          <cell r="J108" t="str">
            <v>Approved</v>
          </cell>
          <cell r="K108" t="str">
            <v>Unapproved</v>
          </cell>
          <cell r="L108" t="str">
            <v>10/06/2011</v>
          </cell>
          <cell r="M108" t="str">
            <v>10/06/2011</v>
          </cell>
        </row>
        <row r="109">
          <cell r="A109">
            <v>123133</v>
          </cell>
          <cell r="B109" t="str">
            <v>965764</v>
          </cell>
          <cell r="C109" t="str">
            <v>USD</v>
          </cell>
          <cell r="D109">
            <v>152</v>
          </cell>
          <cell r="E109" t="str">
            <v>Martino, Diego</v>
          </cell>
          <cell r="F109" t="str">
            <v>Staff Member</v>
          </cell>
          <cell r="G109" t="str">
            <v>Official Business</v>
          </cell>
          <cell r="H109" t="str">
            <v>QUITO, ECU. 04/07/11-09/07/11.  FOLLOW UP UN-REDD MISSION TO THE COUNTRY AND ATTEDN WORKSHOP-REGIONAL CONSULTATION MEETING ON CAPACITY BUILDING-REDD PLUS, ORG BY CBD AND UN REDD PROG. FULL DSA AND TE. EXP. amm1.extension of meeting.</v>
          </cell>
          <cell r="I109">
            <v>1</v>
          </cell>
          <cell r="J109" t="str">
            <v>Approved</v>
          </cell>
          <cell r="K109" t="str">
            <v>Unapproved</v>
          </cell>
          <cell r="L109" t="str">
            <v>15/06/2011</v>
          </cell>
          <cell r="M109" t="str">
            <v>28/06/2011</v>
          </cell>
        </row>
        <row r="110">
          <cell r="A110">
            <v>123133</v>
          </cell>
          <cell r="B110" t="str">
            <v>965764</v>
          </cell>
          <cell r="C110" t="str">
            <v>USD</v>
          </cell>
          <cell r="D110">
            <v>1414.2</v>
          </cell>
          <cell r="E110" t="str">
            <v>Martino, Diego</v>
          </cell>
          <cell r="F110" t="str">
            <v>Staff Member</v>
          </cell>
          <cell r="G110" t="str">
            <v>Official Business</v>
          </cell>
          <cell r="H110" t="str">
            <v>QUITO, ECU. 04/07/11-09/07/11.  FOLLOW UP UN-REDD MISSION TO THE COUNTRY AND ATTEDN WORKSHOP-REGIONAL CONSULTATION MEETING ON CAPACITY BUILDING-REDD PLUS, ORG BY CBD AND UN REDD PROG. FULL DSA AND TE. EXP. amm1.extension of meeting.</v>
          </cell>
          <cell r="I110">
            <v>1</v>
          </cell>
          <cell r="J110" t="str">
            <v>Approved</v>
          </cell>
          <cell r="K110" t="str">
            <v>Unapproved</v>
          </cell>
          <cell r="L110" t="str">
            <v>15/06/2011</v>
          </cell>
          <cell r="M110" t="str">
            <v>28/06/2011</v>
          </cell>
        </row>
        <row r="111">
          <cell r="A111">
            <v>123133</v>
          </cell>
          <cell r="B111" t="str">
            <v>965764</v>
          </cell>
          <cell r="C111" t="str">
            <v>USD</v>
          </cell>
          <cell r="D111">
            <v>1980</v>
          </cell>
          <cell r="E111" t="str">
            <v>Martino, Diego</v>
          </cell>
          <cell r="F111" t="str">
            <v>Staff Member</v>
          </cell>
          <cell r="G111" t="str">
            <v>Official Business</v>
          </cell>
          <cell r="H111" t="str">
            <v>QUITO, ECU. 04/07/11-09/07/11.  FOLLOW UP UN-REDD MISSION TO THE COUNTRY AND ATTEDN WORKSHOP-REGIONAL CONSULTATION MEETING ON CAPACITY BUILDING-REDD PLUS, ORG BY CBD AND UN REDD PROG. FULL DSA AND TE. EXP. amm1.extension of meeting.</v>
          </cell>
          <cell r="I111">
            <v>1</v>
          </cell>
          <cell r="J111" t="str">
            <v>Approved</v>
          </cell>
          <cell r="K111" t="str">
            <v>Unapproved</v>
          </cell>
          <cell r="L111" t="str">
            <v>15/06/2011</v>
          </cell>
          <cell r="M111" t="str">
            <v>28/06/2011</v>
          </cell>
        </row>
        <row r="112">
          <cell r="A112">
            <v>123536</v>
          </cell>
          <cell r="B112" t="str">
            <v>47933</v>
          </cell>
          <cell r="C112" t="str">
            <v>USD</v>
          </cell>
          <cell r="D112">
            <v>152</v>
          </cell>
          <cell r="E112" t="str">
            <v>Hagelberg, Niklas</v>
          </cell>
          <cell r="F112" t="str">
            <v>Staff Member</v>
          </cell>
          <cell r="G112" t="str">
            <v>Official Business</v>
          </cell>
          <cell r="H112" t="str">
            <v>To participate in the Africa Carbon Forum from 4 to 6 July 2011 in Marrakech, Morocco. Express travel to issue ticket.</v>
          </cell>
          <cell r="I112">
            <v>0</v>
          </cell>
          <cell r="J112" t="str">
            <v>Approved</v>
          </cell>
          <cell r="K112" t="str">
            <v>Unapproved</v>
          </cell>
          <cell r="L112" t="str">
            <v>22/06/2011</v>
          </cell>
          <cell r="M112" t="str">
            <v>24/06/2011</v>
          </cell>
        </row>
        <row r="113">
          <cell r="A113">
            <v>123536</v>
          </cell>
          <cell r="B113" t="str">
            <v>47933</v>
          </cell>
          <cell r="C113" t="str">
            <v>USD</v>
          </cell>
          <cell r="D113">
            <v>760</v>
          </cell>
          <cell r="E113" t="str">
            <v>Hagelberg, Niklas</v>
          </cell>
          <cell r="F113" t="str">
            <v>Staff Member</v>
          </cell>
          <cell r="G113" t="str">
            <v>Official Business</v>
          </cell>
          <cell r="H113" t="str">
            <v>To participate in the Africa Carbon Forum from 4 to 6 July 2011 in Marrakech, Morocco. Express travel to issue ticket.</v>
          </cell>
          <cell r="I113">
            <v>0</v>
          </cell>
          <cell r="J113" t="str">
            <v>Approved</v>
          </cell>
          <cell r="K113" t="str">
            <v>Unapproved</v>
          </cell>
          <cell r="L113" t="str">
            <v>22/06/2011</v>
          </cell>
          <cell r="M113" t="str">
            <v>24/06/2011</v>
          </cell>
        </row>
        <row r="114">
          <cell r="A114">
            <v>123536</v>
          </cell>
          <cell r="B114" t="str">
            <v>47933</v>
          </cell>
          <cell r="C114" t="str">
            <v>USD</v>
          </cell>
          <cell r="D114">
            <v>3600.1</v>
          </cell>
          <cell r="E114" t="str">
            <v>Hagelberg, Niklas</v>
          </cell>
          <cell r="F114" t="str">
            <v>Staff Member</v>
          </cell>
          <cell r="G114" t="str">
            <v>Official Business</v>
          </cell>
          <cell r="H114" t="str">
            <v>To participate in the Africa Carbon Forum from 4 to 6 July 2011 in Marrakech, Morocco. Express travel to issue ticket.</v>
          </cell>
          <cell r="I114">
            <v>0</v>
          </cell>
          <cell r="J114" t="str">
            <v>Approved</v>
          </cell>
          <cell r="K114" t="str">
            <v>Unapproved</v>
          </cell>
          <cell r="L114" t="str">
            <v>22/06/2011</v>
          </cell>
          <cell r="M114" t="str">
            <v>24/06/2011</v>
          </cell>
        </row>
        <row r="115">
          <cell r="A115">
            <v>124259</v>
          </cell>
          <cell r="B115" t="str">
            <v>405301</v>
          </cell>
          <cell r="C115" t="str">
            <v>USD</v>
          </cell>
          <cell r="D115">
            <v>152</v>
          </cell>
          <cell r="E115" t="str">
            <v>Labbate, Gabriel</v>
          </cell>
          <cell r="F115" t="str">
            <v>Staff Member</v>
          </cell>
          <cell r="G115" t="str">
            <v>Official Business</v>
          </cell>
          <cell r="H115" t="str">
            <v>Mexico city and Merida, August 8-13. Meetings on UNEP offices and workshop to develop REDD mechanism. Full DSA.</v>
          </cell>
          <cell r="I115">
            <v>0</v>
          </cell>
          <cell r="J115" t="str">
            <v>Approved</v>
          </cell>
          <cell r="K115" t="str">
            <v>Unapproved</v>
          </cell>
          <cell r="L115" t="str">
            <v>09/07/2011</v>
          </cell>
          <cell r="M115" t="str">
            <v>16/07/2011</v>
          </cell>
        </row>
        <row r="116">
          <cell r="A116">
            <v>124259</v>
          </cell>
          <cell r="B116" t="str">
            <v>405301</v>
          </cell>
          <cell r="C116" t="str">
            <v>USD</v>
          </cell>
          <cell r="D116">
            <v>1149.92</v>
          </cell>
          <cell r="E116" t="str">
            <v>Labbate, Gabriel</v>
          </cell>
          <cell r="F116" t="str">
            <v>Staff Member</v>
          </cell>
          <cell r="G116" t="str">
            <v>Official Business</v>
          </cell>
          <cell r="H116" t="str">
            <v>Mexico city and Merida, August 8-13. Meetings on UNEP offices and workshop to develop REDD mechanism. Full DSA.</v>
          </cell>
          <cell r="I116">
            <v>0</v>
          </cell>
          <cell r="J116" t="str">
            <v>Approved</v>
          </cell>
          <cell r="K116" t="str">
            <v>Unapproved</v>
          </cell>
          <cell r="L116" t="str">
            <v>09/07/2011</v>
          </cell>
          <cell r="M116" t="str">
            <v>16/07/2011</v>
          </cell>
        </row>
        <row r="117">
          <cell r="A117">
            <v>124259</v>
          </cell>
          <cell r="B117" t="str">
            <v>405301</v>
          </cell>
          <cell r="C117" t="str">
            <v>USD</v>
          </cell>
          <cell r="D117">
            <v>1193</v>
          </cell>
          <cell r="E117" t="str">
            <v>Labbate, Gabriel</v>
          </cell>
          <cell r="F117" t="str">
            <v>Staff Member</v>
          </cell>
          <cell r="G117" t="str">
            <v>Official Business</v>
          </cell>
          <cell r="H117" t="str">
            <v>Mexico city and Merida, August 8-13. Meetings on UNEP offices and workshop to develop REDD mechanism. Full DSA.</v>
          </cell>
          <cell r="I117">
            <v>0</v>
          </cell>
          <cell r="J117" t="str">
            <v>Approved</v>
          </cell>
          <cell r="K117" t="str">
            <v>Unapproved</v>
          </cell>
          <cell r="L117" t="str">
            <v>09/07/2011</v>
          </cell>
          <cell r="M117" t="str">
            <v>16/07/2011</v>
          </cell>
        </row>
        <row r="118">
          <cell r="A118">
            <v>124532</v>
          </cell>
          <cell r="B118" t="str">
            <v>326804</v>
          </cell>
          <cell r="C118" t="str">
            <v>USD</v>
          </cell>
          <cell r="D118">
            <v>100</v>
          </cell>
          <cell r="E118" t="str">
            <v>Greenwalt, Julie</v>
          </cell>
          <cell r="F118" t="str">
            <v>Staff Member</v>
          </cell>
          <cell r="G118" t="str">
            <v>Official Business</v>
          </cell>
          <cell r="H118" t="str">
            <v>To participate in the Capacity Building, Review and Consultation of Safeguards Workshop in Abuja from 1 to 4 August 2011. Express travel to issue ticket.</v>
          </cell>
          <cell r="I118">
            <v>1</v>
          </cell>
          <cell r="J118" t="str">
            <v>Approved</v>
          </cell>
          <cell r="K118" t="str">
            <v>Unapproved</v>
          </cell>
          <cell r="L118" t="str">
            <v>15/07/2011</v>
          </cell>
          <cell r="M118" t="str">
            <v>29/07/2011</v>
          </cell>
        </row>
        <row r="119">
          <cell r="A119">
            <v>124532</v>
          </cell>
          <cell r="B119" t="str">
            <v>326804</v>
          </cell>
          <cell r="C119" t="str">
            <v>USD</v>
          </cell>
          <cell r="D119">
            <v>152</v>
          </cell>
          <cell r="E119" t="str">
            <v>Greenwalt, Julie</v>
          </cell>
          <cell r="F119" t="str">
            <v>Staff Member</v>
          </cell>
          <cell r="G119" t="str">
            <v>Official Business</v>
          </cell>
          <cell r="H119" t="str">
            <v>To participate in the Capacity Building, Review and Consultation of Safeguards Workshop in Abuja from 1 to 4 August 2011. Express travel to issue ticket.</v>
          </cell>
          <cell r="I119">
            <v>1</v>
          </cell>
          <cell r="J119" t="str">
            <v>Approved</v>
          </cell>
          <cell r="K119" t="str">
            <v>Unapproved</v>
          </cell>
          <cell r="L119" t="str">
            <v>15/07/2011</v>
          </cell>
          <cell r="M119" t="str">
            <v>29/07/2011</v>
          </cell>
        </row>
        <row r="120">
          <cell r="A120">
            <v>124532</v>
          </cell>
          <cell r="B120" t="str">
            <v>326804</v>
          </cell>
          <cell r="C120" t="str">
            <v>USD</v>
          </cell>
          <cell r="D120">
            <v>1124</v>
          </cell>
          <cell r="E120" t="str">
            <v>Greenwalt, Julie</v>
          </cell>
          <cell r="F120" t="str">
            <v>Staff Member</v>
          </cell>
          <cell r="G120" t="str">
            <v>Official Business</v>
          </cell>
          <cell r="H120" t="str">
            <v>To participate in the Capacity Building, Review and Consultation of Safeguards Workshop in Abuja from 1 to 4 August 2011. Express travel to issue ticket.</v>
          </cell>
          <cell r="I120">
            <v>1</v>
          </cell>
          <cell r="J120" t="str">
            <v>Approved</v>
          </cell>
          <cell r="K120" t="str">
            <v>Unapproved</v>
          </cell>
          <cell r="L120" t="str">
            <v>15/07/2011</v>
          </cell>
          <cell r="M120" t="str">
            <v>29/07/2011</v>
          </cell>
        </row>
        <row r="121">
          <cell r="A121">
            <v>124532</v>
          </cell>
          <cell r="B121" t="str">
            <v>326804</v>
          </cell>
          <cell r="C121" t="str">
            <v>USD</v>
          </cell>
          <cell r="D121">
            <v>1270</v>
          </cell>
          <cell r="E121" t="str">
            <v>Greenwalt, Julie</v>
          </cell>
          <cell r="F121" t="str">
            <v>Staff Member</v>
          </cell>
          <cell r="G121" t="str">
            <v>Official Business</v>
          </cell>
          <cell r="H121" t="str">
            <v>To participate in the Capacity Building, Review and Consultation of Safeguards Workshop in Abuja from 1 to 4 August 2011. Express travel to issue ticket.</v>
          </cell>
          <cell r="I121">
            <v>1</v>
          </cell>
          <cell r="J121" t="str">
            <v>Approved</v>
          </cell>
          <cell r="K121" t="str">
            <v>Unapproved</v>
          </cell>
          <cell r="L121" t="str">
            <v>15/07/2011</v>
          </cell>
          <cell r="M121" t="str">
            <v>29/07/2011</v>
          </cell>
        </row>
        <row r="122">
          <cell r="A122">
            <v>124930</v>
          </cell>
          <cell r="B122" t="str">
            <v>965764</v>
          </cell>
          <cell r="C122" t="str">
            <v>USD</v>
          </cell>
          <cell r="D122">
            <v>152</v>
          </cell>
          <cell r="E122" t="str">
            <v>Martino, Diego</v>
          </cell>
          <cell r="F122" t="str">
            <v>Staff Member</v>
          </cell>
          <cell r="G122" t="str">
            <v>Official Business</v>
          </cell>
          <cell r="H122" t="str">
            <v>Montevideo, Uruguay, 7-12/08/2011. Advance in contacts with Government partners in the workshop organization. Full DSA and TE.</v>
          </cell>
          <cell r="I122">
            <v>0</v>
          </cell>
          <cell r="J122" t="str">
            <v>Approved</v>
          </cell>
          <cell r="K122" t="str">
            <v>Unapproved</v>
          </cell>
          <cell r="L122" t="str">
            <v>22/07/2011</v>
          </cell>
          <cell r="M122" t="str">
            <v>23/07/2011</v>
          </cell>
        </row>
        <row r="123">
          <cell r="A123">
            <v>124930</v>
          </cell>
          <cell r="B123" t="str">
            <v>965764</v>
          </cell>
          <cell r="C123" t="str">
            <v>USD</v>
          </cell>
          <cell r="D123">
            <v>440</v>
          </cell>
          <cell r="E123" t="str">
            <v>Martino, Diego</v>
          </cell>
          <cell r="F123" t="str">
            <v>Staff Member</v>
          </cell>
          <cell r="G123" t="str">
            <v>Official Business</v>
          </cell>
          <cell r="H123" t="str">
            <v>Montevideo, Uruguay, 7-12/08/2011. Advance in contacts with Government partners in the workshop organization. Full DSA and TE.</v>
          </cell>
          <cell r="I123">
            <v>0</v>
          </cell>
          <cell r="J123" t="str">
            <v>Approved</v>
          </cell>
          <cell r="K123" t="str">
            <v>Unapproved</v>
          </cell>
          <cell r="L123" t="str">
            <v>22/07/2011</v>
          </cell>
          <cell r="M123" t="str">
            <v>23/07/2011</v>
          </cell>
        </row>
        <row r="124">
          <cell r="A124">
            <v>124930</v>
          </cell>
          <cell r="B124" t="str">
            <v>965764</v>
          </cell>
          <cell r="C124" t="str">
            <v>USD</v>
          </cell>
          <cell r="D124">
            <v>1005</v>
          </cell>
          <cell r="E124" t="str">
            <v>Martino, Diego</v>
          </cell>
          <cell r="F124" t="str">
            <v>Staff Member</v>
          </cell>
          <cell r="G124" t="str">
            <v>Official Business</v>
          </cell>
          <cell r="H124" t="str">
            <v>Montevideo, Uruguay, 7-12/08/2011. Advance in contacts with Government partners in the workshop organization. Full DSA and TE.</v>
          </cell>
          <cell r="I124">
            <v>0</v>
          </cell>
          <cell r="J124" t="str">
            <v>Approved</v>
          </cell>
          <cell r="K124" t="str">
            <v>Unapproved</v>
          </cell>
          <cell r="L124" t="str">
            <v>22/07/2011</v>
          </cell>
          <cell r="M124" t="str">
            <v>23/07/2011</v>
          </cell>
        </row>
        <row r="125">
          <cell r="A125">
            <v>125223</v>
          </cell>
          <cell r="B125" t="str">
            <v>69263</v>
          </cell>
          <cell r="C125" t="str">
            <v>USD</v>
          </cell>
          <cell r="D125">
            <v>0</v>
          </cell>
          <cell r="E125" t="str">
            <v>Dolores, Barrientos</v>
          </cell>
          <cell r="F125" t="str">
            <v>Staff Member</v>
          </cell>
          <cell r="G125" t="str">
            <v>Official Business</v>
          </cell>
          <cell r="H125" t="str">
            <v>Merida, Yucatan/Aug 10-11/11. Staff/organizer at the workshop to develop the capacity of design and implementation of the REDD mechanism. According agreement UNREDD will cover air tkt. TM approval 1/08/11. Amd1and2 air tkt rate changed.</v>
          </cell>
          <cell r="I125">
            <v>2</v>
          </cell>
          <cell r="J125" t="str">
            <v>Certified</v>
          </cell>
          <cell r="K125" t="str">
            <v>Unapproved</v>
          </cell>
          <cell r="L125" t="str">
            <v>29/07/2011</v>
          </cell>
          <cell r="M125" t="str">
            <v>02/08/2011</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ed Carry Over  by Outcom"/>
      <sheetName val="Activities and justifications "/>
      <sheetName val="Commitments not recorded"/>
      <sheetName val="Budget and Expenditure Summary"/>
      <sheetName val="Staff Costs-Commitments"/>
      <sheetName val="Staff Costs-Disbursements"/>
      <sheetName val="Activities GP "/>
      <sheetName val="Annex I budget"/>
      <sheetName val="Expenditures by Outcome"/>
    </sheetNames>
    <sheetDataSet>
      <sheetData sheetId="0" refreshError="1"/>
      <sheetData sheetId="1" refreshError="1"/>
      <sheetData sheetId="2">
        <row r="8">
          <cell r="E8">
            <v>118000</v>
          </cell>
        </row>
        <row r="20">
          <cell r="E20">
            <v>528000</v>
          </cell>
        </row>
        <row r="23">
          <cell r="E23">
            <v>200000</v>
          </cell>
        </row>
        <row r="24">
          <cell r="E24">
            <v>100000</v>
          </cell>
        </row>
        <row r="25">
          <cell r="E25">
            <v>150000</v>
          </cell>
        </row>
        <row r="26">
          <cell r="E26">
            <v>32726</v>
          </cell>
        </row>
        <row r="27">
          <cell r="E27">
            <v>116689</v>
          </cell>
        </row>
        <row r="28">
          <cell r="E28">
            <v>825000</v>
          </cell>
        </row>
      </sheetData>
      <sheetData sheetId="3">
        <row r="109">
          <cell r="P109">
            <v>8419.3430826449185</v>
          </cell>
        </row>
      </sheetData>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013 -2014 Budget"/>
      <sheetName val="Previous vs current submission"/>
      <sheetName val="Overview 2011-2014"/>
      <sheetName val="Summary by outcomes"/>
      <sheetName val=" overview 2012-2014"/>
      <sheetName val="Consl worksheet"/>
      <sheetName val="Category of support"/>
      <sheetName val="Category of support by outcome"/>
      <sheetName val="Budget Category BREAKDOWN"/>
      <sheetName val="FAO 2013-2014 "/>
      <sheetName val="UNDP 2013-2014 "/>
      <sheetName val="UNEP 2013-2014 "/>
      <sheetName val="Secretariat 2013-2014"/>
      <sheetName val="Overview"/>
      <sheetName val="Workplan"/>
      <sheetName val="Annex 1"/>
      <sheetName val="Consl worksheet (2)"/>
      <sheetName val="Sheet3"/>
      <sheetName val="Sheet1"/>
      <sheetName val="Sheet2"/>
      <sheetName val="Sheet4"/>
    </sheetNames>
    <sheetDataSet>
      <sheetData sheetId="0"/>
      <sheetData sheetId="1"/>
      <sheetData sheetId="2"/>
      <sheetData sheetId="3"/>
      <sheetData sheetId="4"/>
      <sheetData sheetId="5">
        <row r="338">
          <cell r="F338">
            <v>666480.2823688169</v>
          </cell>
        </row>
      </sheetData>
      <sheetData sheetId="6"/>
      <sheetData sheetId="7"/>
      <sheetData sheetId="8"/>
      <sheetData sheetId="9" refreshError="1">
        <row r="14">
          <cell r="P14">
            <v>1807679</v>
          </cell>
        </row>
        <row r="32">
          <cell r="P32">
            <v>3385297</v>
          </cell>
        </row>
        <row r="50">
          <cell r="P50">
            <v>308589</v>
          </cell>
        </row>
        <row r="64">
          <cell r="P64">
            <v>310354</v>
          </cell>
        </row>
        <row r="79">
          <cell r="P79">
            <v>419039</v>
          </cell>
        </row>
        <row r="93">
          <cell r="P93">
            <v>375086</v>
          </cell>
        </row>
        <row r="135">
          <cell r="P135">
            <v>360594</v>
          </cell>
        </row>
        <row r="157">
          <cell r="P157">
            <v>271316</v>
          </cell>
        </row>
      </sheetData>
      <sheetData sheetId="10" refreshError="1">
        <row r="16">
          <cell r="R16">
            <v>161000</v>
          </cell>
        </row>
        <row r="34">
          <cell r="R34">
            <v>1141986</v>
          </cell>
        </row>
        <row r="48">
          <cell r="R48">
            <v>2040488.2</v>
          </cell>
        </row>
        <row r="62">
          <cell r="R62">
            <v>443050</v>
          </cell>
        </row>
        <row r="77">
          <cell r="R77">
            <v>452450</v>
          </cell>
        </row>
        <row r="105">
          <cell r="R105">
            <v>120000</v>
          </cell>
        </row>
        <row r="123">
          <cell r="R123">
            <v>248500</v>
          </cell>
        </row>
        <row r="137">
          <cell r="R137">
            <v>274616</v>
          </cell>
        </row>
        <row r="151">
          <cell r="R151">
            <v>652000</v>
          </cell>
        </row>
        <row r="165">
          <cell r="R165">
            <v>153450</v>
          </cell>
        </row>
        <row r="183">
          <cell r="R183">
            <v>193050</v>
          </cell>
        </row>
        <row r="197">
          <cell r="R197">
            <v>260735.6</v>
          </cell>
        </row>
        <row r="211">
          <cell r="R211">
            <v>317000</v>
          </cell>
        </row>
        <row r="229">
          <cell r="R229">
            <v>73735.600000000006</v>
          </cell>
        </row>
        <row r="250">
          <cell r="R250">
            <v>50000</v>
          </cell>
        </row>
        <row r="264">
          <cell r="R264">
            <v>35000</v>
          </cell>
        </row>
      </sheetData>
      <sheetData sheetId="11" refreshError="1">
        <row r="26">
          <cell r="P26">
            <v>320000</v>
          </cell>
        </row>
        <row r="44">
          <cell r="P44">
            <v>1080938</v>
          </cell>
        </row>
        <row r="58">
          <cell r="P58">
            <v>776079</v>
          </cell>
        </row>
        <row r="72">
          <cell r="P72">
            <v>892600</v>
          </cell>
        </row>
        <row r="90">
          <cell r="P90">
            <v>980822</v>
          </cell>
        </row>
        <row r="104">
          <cell r="P104">
            <v>649170</v>
          </cell>
        </row>
        <row r="133">
          <cell r="P133">
            <v>995000</v>
          </cell>
        </row>
        <row r="153">
          <cell r="P153">
            <v>38000</v>
          </cell>
        </row>
      </sheetData>
      <sheetData sheetId="12" refreshError="1">
        <row r="6">
          <cell r="N6">
            <v>11112.483500000002</v>
          </cell>
        </row>
        <row r="7">
          <cell r="N7">
            <v>15000</v>
          </cell>
        </row>
        <row r="8">
          <cell r="N8">
            <v>70200</v>
          </cell>
        </row>
        <row r="9">
          <cell r="N9">
            <v>20000</v>
          </cell>
        </row>
        <row r="21">
          <cell r="N21">
            <v>29000</v>
          </cell>
        </row>
        <row r="22">
          <cell r="N22">
            <v>4500</v>
          </cell>
        </row>
        <row r="23">
          <cell r="N23">
            <v>23400</v>
          </cell>
        </row>
        <row r="25">
          <cell r="N25">
            <v>11112.483500000002</v>
          </cell>
        </row>
        <row r="26">
          <cell r="N26">
            <v>4500</v>
          </cell>
        </row>
        <row r="27">
          <cell r="N27">
            <v>278600</v>
          </cell>
        </row>
        <row r="28">
          <cell r="N28">
            <v>69000</v>
          </cell>
        </row>
        <row r="29">
          <cell r="N29">
            <v>9000</v>
          </cell>
        </row>
        <row r="30">
          <cell r="N30">
            <v>16785.714285714286</v>
          </cell>
        </row>
        <row r="31">
          <cell r="N31">
            <v>5000</v>
          </cell>
        </row>
      </sheetData>
      <sheetData sheetId="13"/>
      <sheetData sheetId="14"/>
      <sheetData sheetId="15"/>
      <sheetData sheetId="16"/>
      <sheetData sheetId="17"/>
      <sheetData sheetId="18"/>
      <sheetData sheetId="19"/>
      <sheetData sheetId="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 Anuual Report"/>
      <sheetName val="List of unrecorded commitmt (2"/>
      <sheetName val="Consolidated Fin Report DEC 14 "/>
      <sheetName val="Consolidated Fin Report DEC (2"/>
      <sheetName val="Progr &amp; Fin Commitmts"/>
      <sheetName val="Commtmts not Recorded Dec 14"/>
      <sheetName val="Sec calc bdwn"/>
      <sheetName val="UNEP unrecorded commitmts"/>
      <sheetName val="UNDP unrecorded commitmts "/>
      <sheetName val="FAO unrecorded commitments"/>
      <sheetName val="Consolidated Financial Report"/>
      <sheetName val="FAO"/>
      <sheetName val="UNDP"/>
      <sheetName val="UNEP"/>
      <sheetName val="2012 Consolidated Report"/>
      <sheetName val="Semi Annual Report 2"/>
      <sheetName val="Agency (2)"/>
      <sheetName val="FAO2"/>
      <sheetName val="Sheet6"/>
      <sheetName val="Sheet1 (2)"/>
      <sheetName val="Sheet1"/>
      <sheetName val="Sheet2"/>
    </sheetNames>
    <sheetDataSet>
      <sheetData sheetId="0" refreshError="1"/>
      <sheetData sheetId="1" refreshError="1"/>
      <sheetData sheetId="2" refreshError="1"/>
      <sheetData sheetId="3">
        <row r="13">
          <cell r="L13">
            <v>2530349</v>
          </cell>
          <cell r="M13">
            <v>1708923</v>
          </cell>
          <cell r="N13">
            <v>83774</v>
          </cell>
        </row>
        <row r="14">
          <cell r="L14">
            <v>1381894</v>
          </cell>
          <cell r="M14">
            <v>7941347</v>
          </cell>
        </row>
        <row r="15">
          <cell r="L15">
            <v>432356.57</v>
          </cell>
          <cell r="M15">
            <v>202766</v>
          </cell>
        </row>
        <row r="16">
          <cell r="L16">
            <v>31748</v>
          </cell>
          <cell r="M16">
            <v>103252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2013 -2014 Budget"/>
      <sheetName val="Previous vs current submission"/>
      <sheetName val="Overview 2011-2014"/>
      <sheetName val="2013-2015 budget"/>
      <sheetName val="2015 workplan&amp;budget "/>
      <sheetName val="FAO"/>
      <sheetName val="UNDP rev"/>
      <sheetName val="UNDP"/>
      <sheetName val="UNEP"/>
      <sheetName val="Secretariat"/>
      <sheetName val="Categories at Sppt outcome"/>
      <sheetName val="categories of support"/>
      <sheetName val="Consl work plan "/>
      <sheetName val="Category of support"/>
      <sheetName val="Category of support by outcome"/>
      <sheetName val="Budget Category BREAKDOWN"/>
      <sheetName val=" overview 2012-2014"/>
      <sheetName val="Summary by outcomes"/>
      <sheetName val="FAO 2013-2014 "/>
      <sheetName val="UNDP 2013-2014 "/>
      <sheetName val="UNEP 2013-2014 "/>
      <sheetName val="Secretariat 2013-2014"/>
      <sheetName val="Overview"/>
      <sheetName val="Workplan"/>
      <sheetName val="Annex 1"/>
      <sheetName val="Consl worksheet (2)"/>
      <sheetName val="Sheet3"/>
      <sheetName val="Sheet1"/>
      <sheetName val="Sheet2"/>
      <sheetName val="Categories at Sppt outcome (2)"/>
      <sheetName val="Sheet4"/>
      <sheetName val="Sheet5"/>
    </sheetNames>
    <sheetDataSet>
      <sheetData sheetId="0"/>
      <sheetData sheetId="1"/>
      <sheetData sheetId="2"/>
      <sheetData sheetId="3"/>
      <sheetData sheetId="4"/>
      <sheetData sheetId="5"/>
      <sheetData sheetId="6"/>
      <sheetData sheetId="7"/>
      <sheetData sheetId="8"/>
      <sheetData sheetId="9">
        <row r="548">
          <cell r="H548">
            <v>831152.6</v>
          </cell>
        </row>
        <row r="555">
          <cell r="I555">
            <v>1279932.3999999999</v>
          </cell>
          <cell r="J555">
            <v>1182259.6000000001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0"/>
  <sheetViews>
    <sheetView showGridLines="0" topLeftCell="A10" workbookViewId="0">
      <selection activeCell="D15" sqref="D15"/>
    </sheetView>
  </sheetViews>
  <sheetFormatPr defaultRowHeight="15" x14ac:dyDescent="0.25"/>
  <cols>
    <col min="3" max="3" width="48.140625" customWidth="1"/>
    <col min="4" max="4" width="21.140625" customWidth="1"/>
    <col min="5" max="5" width="19.85546875" bestFit="1" customWidth="1"/>
    <col min="6" max="6" width="27.5703125" customWidth="1"/>
    <col min="7" max="7" width="20.42578125" customWidth="1"/>
    <col min="8" max="8" width="20.28515625" customWidth="1"/>
    <col min="9" max="9" width="21.85546875" customWidth="1"/>
  </cols>
  <sheetData>
    <row r="2" spans="2:14" ht="15.75" customHeight="1" x14ac:dyDescent="0.25">
      <c r="B2" s="35"/>
      <c r="C2" s="182" t="s">
        <v>39</v>
      </c>
      <c r="D2" s="183"/>
      <c r="E2" s="183"/>
      <c r="F2" s="183"/>
      <c r="G2" s="183"/>
      <c r="H2" s="183"/>
      <c r="I2" s="184"/>
      <c r="J2" s="35"/>
      <c r="K2" s="35"/>
      <c r="L2" s="35"/>
      <c r="M2" s="35"/>
      <c r="N2" s="35"/>
    </row>
    <row r="3" spans="2:14" ht="15.75" customHeight="1" x14ac:dyDescent="0.25">
      <c r="C3" s="185"/>
      <c r="D3" s="186"/>
      <c r="E3" s="186"/>
      <c r="F3" s="186"/>
      <c r="G3" s="186"/>
      <c r="H3" s="186"/>
      <c r="I3" s="187"/>
    </row>
    <row r="4" spans="2:14" ht="82.5" customHeight="1" x14ac:dyDescent="0.25">
      <c r="C4" s="36" t="s">
        <v>40</v>
      </c>
      <c r="D4" s="37" t="s">
        <v>41</v>
      </c>
      <c r="E4" s="37" t="s">
        <v>34</v>
      </c>
      <c r="F4" s="37" t="s">
        <v>33</v>
      </c>
      <c r="G4" s="37" t="s">
        <v>35</v>
      </c>
      <c r="H4" s="37" t="s">
        <v>36</v>
      </c>
      <c r="I4" s="37" t="s">
        <v>37</v>
      </c>
    </row>
    <row r="5" spans="2:14" ht="44.25" customHeight="1" x14ac:dyDescent="0.25">
      <c r="C5" s="38" t="s">
        <v>42</v>
      </c>
      <c r="D5" s="26" t="s">
        <v>43</v>
      </c>
      <c r="E5" s="26" t="s">
        <v>44</v>
      </c>
      <c r="F5" s="39" t="s">
        <v>45</v>
      </c>
      <c r="G5" s="40">
        <f>'[4]Commitments not recorded'!$E$8+'[4]Commitments not recorded'!$E$20</f>
        <v>646000</v>
      </c>
      <c r="H5" s="41">
        <v>0</v>
      </c>
      <c r="I5" s="42">
        <f>'[4]Commitments not recorded'!$E$8+'[4]Commitments not recorded'!$E$20</f>
        <v>646000</v>
      </c>
    </row>
    <row r="6" spans="2:14" ht="57" customHeight="1" x14ac:dyDescent="0.25">
      <c r="C6" s="43" t="s">
        <v>46</v>
      </c>
      <c r="D6" s="44" t="s">
        <v>47</v>
      </c>
      <c r="E6" s="26" t="s">
        <v>48</v>
      </c>
      <c r="F6" s="39" t="s">
        <v>49</v>
      </c>
      <c r="G6" s="31">
        <f>'[4]Commitments not recorded'!$E$23</f>
        <v>200000</v>
      </c>
      <c r="H6" s="41">
        <v>0</v>
      </c>
      <c r="I6" s="45">
        <f>'[4]Commitments not recorded'!$E$23</f>
        <v>200000</v>
      </c>
    </row>
    <row r="7" spans="2:14" ht="54.75" customHeight="1" x14ac:dyDescent="0.25">
      <c r="C7" s="43" t="s">
        <v>50</v>
      </c>
      <c r="D7" s="27" t="s">
        <v>51</v>
      </c>
      <c r="E7" s="26" t="s">
        <v>48</v>
      </c>
      <c r="F7" s="39" t="s">
        <v>52</v>
      </c>
      <c r="G7" s="31">
        <f>'[4]Commitments not recorded'!$E$24</f>
        <v>100000</v>
      </c>
      <c r="H7" s="41">
        <v>0</v>
      </c>
      <c r="I7" s="45">
        <f>'[4]Commitments not recorded'!$E$24</f>
        <v>100000</v>
      </c>
    </row>
    <row r="8" spans="2:14" ht="126" customHeight="1" x14ac:dyDescent="0.25">
      <c r="C8" s="43" t="s">
        <v>53</v>
      </c>
      <c r="D8" s="27" t="s">
        <v>38</v>
      </c>
      <c r="E8" s="26" t="s">
        <v>48</v>
      </c>
      <c r="F8" s="39" t="s">
        <v>54</v>
      </c>
      <c r="G8" s="31">
        <f>'[4]Commitments not recorded'!$E$25</f>
        <v>150000</v>
      </c>
      <c r="H8" s="41">
        <v>0</v>
      </c>
      <c r="I8" s="45">
        <f>'[4]Commitments not recorded'!$E$25</f>
        <v>150000</v>
      </c>
    </row>
    <row r="9" spans="2:14" ht="87.75" customHeight="1" x14ac:dyDescent="0.25">
      <c r="C9" s="43" t="s">
        <v>55</v>
      </c>
      <c r="D9" s="27" t="s">
        <v>56</v>
      </c>
      <c r="E9" s="26" t="s">
        <v>48</v>
      </c>
      <c r="F9" s="39" t="s">
        <v>57</v>
      </c>
      <c r="G9" s="31">
        <f>'[4]Commitments not recorded'!$E$26+'[4]Commitments not recorded'!$E$27+'[4]Commitments not recorded'!$E$28</f>
        <v>974415</v>
      </c>
      <c r="H9" s="41">
        <v>0</v>
      </c>
      <c r="I9" s="45">
        <f>'[4]Commitments not recorded'!$E$26+'[4]Commitments not recorded'!$E$27+'[4]Commitments not recorded'!$E$28</f>
        <v>974415</v>
      </c>
    </row>
    <row r="10" spans="2:14" ht="30" customHeight="1" x14ac:dyDescent="0.25">
      <c r="C10" s="28" t="s">
        <v>27</v>
      </c>
      <c r="D10" s="29"/>
      <c r="E10" s="29"/>
      <c r="F10" s="29"/>
      <c r="G10" s="46">
        <f>SUM(G5:G9)</f>
        <v>2070415</v>
      </c>
      <c r="H10" s="30"/>
      <c r="I10" s="46">
        <f>SUM(I5:I9)</f>
        <v>2070415</v>
      </c>
    </row>
  </sheetData>
  <mergeCells count="1">
    <mergeCell ref="C2: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election activeCell="N6" sqref="N6"/>
    </sheetView>
  </sheetViews>
  <sheetFormatPr defaultRowHeight="15" x14ac:dyDescent="0.25"/>
  <cols>
    <col min="9" max="9" width="14.7109375" customWidth="1"/>
  </cols>
  <sheetData>
    <row r="1" spans="1:10" ht="15.75" x14ac:dyDescent="0.25">
      <c r="A1" s="65" t="s">
        <v>147</v>
      </c>
      <c r="B1" s="1"/>
      <c r="C1" s="1"/>
      <c r="D1" s="1"/>
      <c r="E1" s="1"/>
      <c r="F1" s="1"/>
      <c r="G1" s="1"/>
      <c r="H1" s="1"/>
      <c r="I1" s="1"/>
    </row>
    <row r="2" spans="1:10" ht="15.75" x14ac:dyDescent="0.25">
      <c r="A2" s="65" t="s">
        <v>148</v>
      </c>
      <c r="B2" s="1"/>
      <c r="C2" s="1"/>
      <c r="D2" s="1"/>
      <c r="E2" s="1"/>
      <c r="F2" s="1"/>
      <c r="G2" s="1"/>
      <c r="H2" s="1"/>
      <c r="I2" s="1"/>
    </row>
    <row r="3" spans="1:10" ht="45.75" customHeight="1" x14ac:dyDescent="0.25">
      <c r="A3" s="188" t="s">
        <v>176</v>
      </c>
      <c r="B3" s="189"/>
      <c r="C3" s="189"/>
      <c r="D3" s="189"/>
      <c r="E3" s="189"/>
      <c r="F3" s="189"/>
      <c r="G3" s="189"/>
      <c r="H3" s="189"/>
      <c r="I3" s="189"/>
    </row>
    <row r="4" spans="1:10" ht="59.25" customHeight="1" x14ac:dyDescent="0.25">
      <c r="A4" s="189"/>
      <c r="B4" s="189"/>
      <c r="C4" s="189"/>
      <c r="D4" s="189"/>
      <c r="E4" s="189"/>
      <c r="F4" s="189"/>
      <c r="G4" s="189"/>
      <c r="H4" s="189"/>
      <c r="I4" s="189"/>
    </row>
    <row r="5" spans="1:10" ht="43.5" customHeight="1" x14ac:dyDescent="0.25">
      <c r="A5" s="189"/>
      <c r="B5" s="189"/>
      <c r="C5" s="189"/>
      <c r="D5" s="189"/>
      <c r="E5" s="189"/>
      <c r="F5" s="189"/>
      <c r="G5" s="189"/>
      <c r="H5" s="189"/>
      <c r="I5" s="189"/>
    </row>
    <row r="6" spans="1:10" ht="216.75" customHeight="1" x14ac:dyDescent="0.25">
      <c r="A6" s="189"/>
      <c r="B6" s="189"/>
      <c r="C6" s="189"/>
      <c r="D6" s="189"/>
      <c r="E6" s="189"/>
      <c r="F6" s="189"/>
      <c r="G6" s="189"/>
      <c r="H6" s="189"/>
      <c r="I6" s="189"/>
    </row>
    <row r="8" spans="1:10" x14ac:dyDescent="0.25">
      <c r="A8" s="191"/>
      <c r="B8" s="191"/>
      <c r="C8" s="191"/>
      <c r="D8" s="191"/>
      <c r="E8" s="191"/>
      <c r="F8" s="191"/>
      <c r="G8" s="191"/>
      <c r="H8" s="191"/>
      <c r="I8" s="191"/>
    </row>
    <row r="9" spans="1:10" ht="15.75" x14ac:dyDescent="0.25">
      <c r="A9" s="8" t="s">
        <v>149</v>
      </c>
      <c r="B9" s="143"/>
      <c r="C9" s="144"/>
      <c r="D9" s="144"/>
      <c r="E9" s="144"/>
      <c r="F9" s="144"/>
      <c r="G9" s="144"/>
    </row>
    <row r="10" spans="1:10" ht="36" customHeight="1" x14ac:dyDescent="0.25">
      <c r="A10" s="192" t="s">
        <v>168</v>
      </c>
      <c r="B10" s="192"/>
      <c r="C10" s="192"/>
      <c r="D10" s="192"/>
      <c r="E10" s="192"/>
      <c r="F10" s="192"/>
      <c r="G10" s="192"/>
      <c r="H10" s="192"/>
      <c r="I10" s="192"/>
    </row>
    <row r="11" spans="1:10" ht="21.75" customHeight="1" x14ac:dyDescent="0.25">
      <c r="A11" s="17" t="s">
        <v>150</v>
      </c>
      <c r="B11" s="114"/>
      <c r="C11" s="115"/>
      <c r="D11" s="115"/>
      <c r="E11" s="115"/>
      <c r="F11" s="115"/>
      <c r="G11" s="115"/>
    </row>
    <row r="12" spans="1:10" ht="19.5" customHeight="1" x14ac:dyDescent="0.25">
      <c r="A12" s="1" t="s">
        <v>146</v>
      </c>
      <c r="B12" s="114"/>
      <c r="C12" s="115"/>
      <c r="D12" s="115"/>
      <c r="E12" s="115"/>
      <c r="F12" s="115"/>
      <c r="G12" s="115"/>
    </row>
    <row r="13" spans="1:10" ht="50.25" customHeight="1" x14ac:dyDescent="0.25">
      <c r="A13" s="190" t="s">
        <v>152</v>
      </c>
      <c r="B13" s="190"/>
      <c r="C13" s="190"/>
      <c r="D13" s="190"/>
      <c r="E13" s="190"/>
      <c r="F13" s="190"/>
      <c r="G13" s="190"/>
      <c r="H13" s="190"/>
      <c r="I13" s="190"/>
      <c r="J13" s="190"/>
    </row>
    <row r="14" spans="1:10" ht="153.75" customHeight="1" x14ac:dyDescent="0.25">
      <c r="A14" s="190"/>
      <c r="B14" s="190"/>
      <c r="C14" s="190"/>
      <c r="D14" s="190"/>
      <c r="E14" s="190"/>
      <c r="F14" s="190"/>
      <c r="G14" s="190"/>
      <c r="H14" s="190"/>
      <c r="I14" s="190"/>
      <c r="J14" s="190"/>
    </row>
  </sheetData>
  <mergeCells count="4">
    <mergeCell ref="A3:I6"/>
    <mergeCell ref="A13:J14"/>
    <mergeCell ref="A8:I8"/>
    <mergeCell ref="A10:I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E99"/>
  <sheetViews>
    <sheetView showGridLines="0" tabSelected="1" view="pageBreakPreview" topLeftCell="A2" zoomScale="60" zoomScaleNormal="75" workbookViewId="0">
      <pane ySplit="12" topLeftCell="A81" activePane="bottomLeft" state="frozen"/>
      <selection activeCell="A17" sqref="A17"/>
      <selection pane="bottomLeft" activeCell="M7" sqref="M7:M12"/>
    </sheetView>
  </sheetViews>
  <sheetFormatPr defaultRowHeight="15" x14ac:dyDescent="0.25"/>
  <cols>
    <col min="1" max="1" width="24.42578125" style="1" customWidth="1"/>
    <col min="2" max="2" width="10.140625" style="1" customWidth="1"/>
    <col min="3" max="3" width="15" style="1" hidden="1" customWidth="1"/>
    <col min="4" max="4" width="15.28515625" style="1" hidden="1" customWidth="1"/>
    <col min="5" max="5" width="15" style="1" customWidth="1"/>
    <col min="6" max="6" width="16.140625" style="1" customWidth="1"/>
    <col min="7" max="7" width="14.42578125" style="1" customWidth="1"/>
    <col min="8" max="8" width="15.140625" style="1" customWidth="1"/>
    <col min="9" max="9" width="15.42578125" style="1" customWidth="1"/>
    <col min="10" max="10" width="16.28515625" style="1" customWidth="1"/>
    <col min="11" max="11" width="12.7109375" style="1" customWidth="1"/>
    <col min="12" max="12" width="16.42578125" style="1" customWidth="1"/>
    <col min="13" max="13" width="17.42578125" style="1" customWidth="1"/>
    <col min="14" max="14" width="13.7109375" style="1" customWidth="1"/>
    <col min="15" max="15" width="13.5703125" style="1" customWidth="1"/>
    <col min="16" max="16" width="14.42578125" style="1" customWidth="1"/>
    <col min="17" max="17" width="14.28515625" style="1" customWidth="1"/>
    <col min="18" max="16384" width="9.140625" style="1"/>
  </cols>
  <sheetData>
    <row r="1" spans="1:57" ht="14.25" customHeight="1" x14ac:dyDescent="0.25"/>
    <row r="2" spans="1:57" ht="17.25" customHeight="1" x14ac:dyDescent="0.25">
      <c r="A2" s="101"/>
      <c r="B2" s="101"/>
      <c r="C2" s="101"/>
      <c r="D2" s="101"/>
      <c r="E2" s="101"/>
      <c r="F2" s="101"/>
      <c r="G2" s="101"/>
      <c r="H2" s="101"/>
      <c r="I2" s="101"/>
      <c r="J2" s="101"/>
      <c r="M2" s="99"/>
      <c r="N2" s="100"/>
      <c r="O2" s="100"/>
      <c r="P2" s="100"/>
      <c r="Q2" s="100"/>
      <c r="R2" s="100"/>
      <c r="S2" s="100"/>
      <c r="T2" s="100"/>
      <c r="U2" s="100"/>
    </row>
    <row r="3" spans="1:57" ht="18" customHeight="1" x14ac:dyDescent="0.25">
      <c r="A3" s="112"/>
      <c r="B3" s="112"/>
      <c r="C3" s="112"/>
      <c r="D3" s="112"/>
      <c r="E3" s="112"/>
      <c r="F3" s="112"/>
      <c r="G3" s="112"/>
      <c r="H3" s="112"/>
      <c r="I3" s="112"/>
      <c r="J3" s="112"/>
      <c r="M3" s="111"/>
      <c r="N3" s="110"/>
      <c r="O3" s="110"/>
      <c r="P3" s="110"/>
      <c r="Q3" s="110"/>
      <c r="R3" s="110"/>
      <c r="S3" s="110"/>
      <c r="T3" s="110"/>
      <c r="U3" s="110"/>
    </row>
    <row r="4" spans="1:57" ht="18" customHeight="1" x14ac:dyDescent="0.25">
      <c r="A4" s="112"/>
      <c r="B4" s="112"/>
      <c r="C4" s="112"/>
      <c r="D4" s="112"/>
      <c r="E4" s="112"/>
      <c r="F4" s="112"/>
      <c r="G4" s="112"/>
      <c r="H4" s="112"/>
      <c r="I4" s="112"/>
      <c r="J4" s="112"/>
      <c r="M4" s="111"/>
      <c r="N4" s="110"/>
      <c r="O4" s="110"/>
      <c r="P4" s="110"/>
      <c r="Q4" s="110"/>
      <c r="R4" s="110"/>
      <c r="S4" s="110"/>
      <c r="T4" s="110"/>
      <c r="U4" s="110"/>
    </row>
    <row r="5" spans="1:57" ht="23.25" customHeight="1" x14ac:dyDescent="0.25">
      <c r="A5" s="201" t="s">
        <v>140</v>
      </c>
      <c r="B5" s="202"/>
      <c r="C5" s="202"/>
      <c r="D5" s="202"/>
      <c r="E5" s="202"/>
      <c r="F5" s="202"/>
      <c r="G5" s="202"/>
      <c r="H5" s="202"/>
      <c r="I5" s="202"/>
      <c r="J5" s="202"/>
      <c r="K5" s="202"/>
      <c r="L5" s="202"/>
      <c r="M5" s="202"/>
      <c r="N5" s="202"/>
      <c r="O5" s="202"/>
      <c r="P5" s="202"/>
      <c r="Q5" s="203"/>
    </row>
    <row r="6" spans="1:57" ht="60.75" customHeight="1" x14ac:dyDescent="0.25">
      <c r="A6" s="193" t="s">
        <v>10</v>
      </c>
      <c r="B6" s="193" t="s">
        <v>0</v>
      </c>
      <c r="C6" s="193" t="s">
        <v>132</v>
      </c>
      <c r="D6" s="198" t="s">
        <v>93</v>
      </c>
      <c r="E6" s="198" t="s">
        <v>173</v>
      </c>
      <c r="F6" s="116" t="s">
        <v>91</v>
      </c>
      <c r="G6" s="204" t="s">
        <v>151</v>
      </c>
      <c r="H6" s="204"/>
      <c r="I6" s="204"/>
      <c r="J6" s="194" t="s">
        <v>156</v>
      </c>
      <c r="K6" s="195" t="s">
        <v>157</v>
      </c>
      <c r="L6" s="206" t="s">
        <v>159</v>
      </c>
      <c r="M6" s="209" t="s">
        <v>158</v>
      </c>
      <c r="N6" s="210"/>
      <c r="O6" s="210"/>
      <c r="P6" s="210"/>
      <c r="Q6" s="211"/>
      <c r="R6" s="6"/>
      <c r="S6" s="6"/>
      <c r="T6" s="6"/>
      <c r="U6" s="6"/>
      <c r="V6" s="6"/>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7" ht="17.25" customHeight="1" x14ac:dyDescent="0.25">
      <c r="A7" s="193"/>
      <c r="B7" s="193"/>
      <c r="C7" s="193"/>
      <c r="D7" s="199"/>
      <c r="E7" s="199"/>
      <c r="F7" s="198" t="s">
        <v>174</v>
      </c>
      <c r="G7" s="113"/>
      <c r="H7" s="113"/>
      <c r="I7" s="113"/>
      <c r="J7" s="194"/>
      <c r="K7" s="195"/>
      <c r="L7" s="207"/>
      <c r="M7" s="215" t="s">
        <v>172</v>
      </c>
      <c r="N7" s="221" t="s">
        <v>142</v>
      </c>
      <c r="O7" s="210"/>
      <c r="P7" s="211"/>
      <c r="Q7" s="218" t="s">
        <v>141</v>
      </c>
      <c r="R7" s="6"/>
      <c r="S7" s="6"/>
      <c r="T7" s="6"/>
      <c r="U7" s="6"/>
      <c r="V7" s="6"/>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row>
    <row r="8" spans="1:57" ht="21.75" customHeight="1" x14ac:dyDescent="0.25">
      <c r="A8" s="193"/>
      <c r="B8" s="193"/>
      <c r="C8" s="193"/>
      <c r="D8" s="199"/>
      <c r="E8" s="199"/>
      <c r="F8" s="199"/>
      <c r="G8" s="205" t="s">
        <v>153</v>
      </c>
      <c r="H8" s="205" t="s">
        <v>154</v>
      </c>
      <c r="I8" s="205" t="s">
        <v>155</v>
      </c>
      <c r="J8" s="194"/>
      <c r="K8" s="196"/>
      <c r="L8" s="207"/>
      <c r="M8" s="216"/>
      <c r="N8" s="206" t="s">
        <v>143</v>
      </c>
      <c r="O8" s="212" t="s">
        <v>144</v>
      </c>
      <c r="P8" s="206" t="s">
        <v>145</v>
      </c>
      <c r="Q8" s="219"/>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row>
    <row r="9" spans="1:57" ht="15" customHeight="1" x14ac:dyDescent="0.25">
      <c r="A9" s="193"/>
      <c r="B9" s="193"/>
      <c r="C9" s="193"/>
      <c r="D9" s="199"/>
      <c r="E9" s="199"/>
      <c r="F9" s="199"/>
      <c r="G9" s="205"/>
      <c r="H9" s="205"/>
      <c r="I9" s="205"/>
      <c r="J9" s="194"/>
      <c r="K9" s="196"/>
      <c r="L9" s="207"/>
      <c r="M9" s="216"/>
      <c r="N9" s="207"/>
      <c r="O9" s="213"/>
      <c r="P9" s="207"/>
      <c r="Q9" s="219"/>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row>
    <row r="10" spans="1:57" ht="15" customHeight="1" x14ac:dyDescent="0.25">
      <c r="A10" s="193"/>
      <c r="B10" s="193"/>
      <c r="C10" s="193"/>
      <c r="D10" s="199"/>
      <c r="E10" s="199"/>
      <c r="F10" s="199"/>
      <c r="G10" s="205"/>
      <c r="H10" s="205"/>
      <c r="I10" s="205"/>
      <c r="J10" s="194"/>
      <c r="K10" s="196"/>
      <c r="L10" s="207"/>
      <c r="M10" s="216"/>
      <c r="N10" s="207"/>
      <c r="O10" s="213"/>
      <c r="P10" s="207"/>
      <c r="Q10" s="219"/>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row>
    <row r="11" spans="1:57" ht="15" customHeight="1" x14ac:dyDescent="0.25">
      <c r="A11" s="193"/>
      <c r="B11" s="193"/>
      <c r="C11" s="193"/>
      <c r="D11" s="199"/>
      <c r="E11" s="199"/>
      <c r="F11" s="199"/>
      <c r="G11" s="205"/>
      <c r="H11" s="205"/>
      <c r="I11" s="205"/>
      <c r="J11" s="194"/>
      <c r="K11" s="196"/>
      <c r="L11" s="207"/>
      <c r="M11" s="216"/>
      <c r="N11" s="207"/>
      <c r="O11" s="213"/>
      <c r="P11" s="207"/>
      <c r="Q11" s="219"/>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row>
    <row r="12" spans="1:57" ht="22.5" customHeight="1" x14ac:dyDescent="0.25">
      <c r="A12" s="193"/>
      <c r="B12" s="193"/>
      <c r="C12" s="193"/>
      <c r="D12" s="199"/>
      <c r="E12" s="199"/>
      <c r="F12" s="200"/>
      <c r="G12" s="205"/>
      <c r="H12" s="205"/>
      <c r="I12" s="205"/>
      <c r="J12" s="194"/>
      <c r="K12" s="196"/>
      <c r="L12" s="208"/>
      <c r="M12" s="217"/>
      <c r="N12" s="208"/>
      <c r="O12" s="214"/>
      <c r="P12" s="208"/>
      <c r="Q12" s="220"/>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row>
    <row r="13" spans="1:57" ht="18" customHeight="1" x14ac:dyDescent="0.25">
      <c r="A13" s="227" t="s">
        <v>22</v>
      </c>
      <c r="B13" s="228"/>
      <c r="C13" s="228"/>
      <c r="D13" s="228"/>
      <c r="E13" s="228"/>
      <c r="F13" s="228"/>
      <c r="G13" s="228"/>
      <c r="H13" s="228"/>
      <c r="I13" s="228"/>
      <c r="J13" s="228"/>
      <c r="K13" s="25"/>
      <c r="L13" s="109"/>
      <c r="M13" s="138"/>
      <c r="N13" s="139"/>
      <c r="O13" s="140"/>
      <c r="P13" s="140"/>
      <c r="Q13" s="140"/>
      <c r="R13" s="13"/>
      <c r="S13" s="13"/>
      <c r="T13" s="13"/>
      <c r="U13" s="13"/>
      <c r="V13" s="13"/>
      <c r="W13" s="14"/>
    </row>
    <row r="14" spans="1:57" ht="24" customHeight="1" x14ac:dyDescent="0.25">
      <c r="A14" s="22" t="s">
        <v>58</v>
      </c>
      <c r="B14" s="49" t="s">
        <v>1</v>
      </c>
      <c r="C14" s="18">
        <f>3100266+'[5]FAO 2013-2014 '!$P$14+583857</f>
        <v>5491802</v>
      </c>
      <c r="D14" s="18">
        <v>1318914</v>
      </c>
      <c r="E14" s="18">
        <f>C14+D14</f>
        <v>6810716</v>
      </c>
      <c r="F14" s="18">
        <f>1533790+1192714+1596543</f>
        <v>4323047</v>
      </c>
      <c r="G14" s="121">
        <v>1027560</v>
      </c>
      <c r="H14" s="122">
        <v>58652</v>
      </c>
      <c r="I14" s="9">
        <f>G14+H14</f>
        <v>1086212</v>
      </c>
      <c r="J14" s="9">
        <f>F14+I14</f>
        <v>5409259</v>
      </c>
      <c r="K14" s="117"/>
      <c r="L14" s="129"/>
      <c r="M14" s="165">
        <f>'[6]Consolidated Fin Report DEC (2'!$L$13</f>
        <v>2530349</v>
      </c>
      <c r="N14" s="166">
        <f>'[6]Consolidated Fin Report DEC (2'!$M$13</f>
        <v>1708923</v>
      </c>
      <c r="O14" s="167">
        <f>'[6]Consolidated Fin Report DEC (2'!$N$13</f>
        <v>83774</v>
      </c>
      <c r="P14" s="168">
        <f>SUM(N14:O14)</f>
        <v>1792697</v>
      </c>
      <c r="Q14" s="11"/>
      <c r="R14" s="6"/>
      <c r="S14" s="6"/>
      <c r="T14" s="6"/>
      <c r="U14" s="6"/>
      <c r="V14" s="6"/>
      <c r="W14" s="14"/>
    </row>
    <row r="15" spans="1:57" ht="25.5" customHeight="1" x14ac:dyDescent="0.25">
      <c r="A15" s="237" t="s">
        <v>59</v>
      </c>
      <c r="B15" s="49" t="s">
        <v>1</v>
      </c>
      <c r="C15" s="18">
        <f>6572024+'[5]FAO 2013-2014 '!$P$32+5081860</f>
        <v>15039181</v>
      </c>
      <c r="D15" s="18">
        <f>3135314+1000000</f>
        <v>4135314</v>
      </c>
      <c r="E15" s="18">
        <f t="shared" ref="E15:E18" si="0">C15+D15</f>
        <v>19174495</v>
      </c>
      <c r="F15" s="18">
        <f>3809070+2769805+5005343</f>
        <v>11584218</v>
      </c>
      <c r="G15" s="121">
        <v>3869137</v>
      </c>
      <c r="H15" s="122">
        <f>2489165+293261</f>
        <v>2782426</v>
      </c>
      <c r="I15" s="9">
        <f>G15+H15</f>
        <v>6651563</v>
      </c>
      <c r="J15" s="9">
        <f t="shared" ref="J15:J18" si="1">F15+I15</f>
        <v>18235781</v>
      </c>
      <c r="K15" s="117"/>
      <c r="L15" s="129"/>
      <c r="M15" s="169">
        <f>'[6]Consolidated Fin Report DEC (2'!$L$14</f>
        <v>1381894</v>
      </c>
      <c r="N15" s="170">
        <f>'[6]Consolidated Fin Report DEC (2'!$M$14</f>
        <v>7941347</v>
      </c>
      <c r="O15" s="171">
        <v>5063088</v>
      </c>
      <c r="P15" s="171">
        <f>SUM(N15:O15)</f>
        <v>13004435</v>
      </c>
      <c r="Q15" s="136"/>
      <c r="R15" s="32"/>
      <c r="S15" s="32"/>
      <c r="T15" s="32"/>
      <c r="U15" s="32"/>
      <c r="V15" s="32"/>
      <c r="W15" s="14"/>
    </row>
    <row r="16" spans="1:57" ht="27" customHeight="1" x14ac:dyDescent="0.25">
      <c r="A16" s="237"/>
      <c r="B16" s="49" t="s">
        <v>2</v>
      </c>
      <c r="C16" s="18">
        <f>416000+'[5]UNDP 2013-2014 '!$R$16</f>
        <v>577000</v>
      </c>
      <c r="D16" s="18">
        <v>170782</v>
      </c>
      <c r="E16" s="18">
        <f t="shared" si="0"/>
        <v>747782</v>
      </c>
      <c r="F16" s="18">
        <f>290759+169342+175021</f>
        <v>635122</v>
      </c>
      <c r="G16" s="121">
        <v>68425</v>
      </c>
      <c r="H16" s="123">
        <v>69138</v>
      </c>
      <c r="I16" s="9">
        <f>G16+H16</f>
        <v>137563</v>
      </c>
      <c r="J16" s="9">
        <f t="shared" si="1"/>
        <v>772685</v>
      </c>
      <c r="K16" s="117"/>
      <c r="L16" s="129"/>
      <c r="M16" s="169">
        <f>'[6]Consolidated Fin Report DEC (2'!$L$15</f>
        <v>432356.57</v>
      </c>
      <c r="N16" s="121">
        <f>'[6]Consolidated Fin Report DEC (2'!$M$15</f>
        <v>202766</v>
      </c>
      <c r="O16" s="172"/>
      <c r="P16" s="171">
        <f t="shared" ref="P16:P18" si="2">SUM(N16:O16)</f>
        <v>202766</v>
      </c>
      <c r="Q16" s="137"/>
      <c r="R16" s="106"/>
      <c r="S16" s="106"/>
      <c r="T16" s="106"/>
      <c r="U16" s="106"/>
      <c r="V16" s="106"/>
    </row>
    <row r="17" spans="1:22" ht="25.5" customHeight="1" x14ac:dyDescent="0.25">
      <c r="A17" s="237"/>
      <c r="B17" s="49" t="s">
        <v>3</v>
      </c>
      <c r="C17" s="50">
        <f>135000</f>
        <v>135000</v>
      </c>
      <c r="D17" s="50"/>
      <c r="E17" s="18">
        <f t="shared" si="0"/>
        <v>135000</v>
      </c>
      <c r="F17" s="50">
        <f>122307+12692</f>
        <v>134999</v>
      </c>
      <c r="G17" s="124"/>
      <c r="H17" s="123"/>
      <c r="I17" s="9"/>
      <c r="J17" s="9">
        <f t="shared" si="1"/>
        <v>134999</v>
      </c>
      <c r="K17" s="117"/>
      <c r="L17" s="129"/>
      <c r="M17" s="169">
        <f>'[6]Consolidated Fin Report DEC (2'!$L$16</f>
        <v>31748</v>
      </c>
      <c r="N17" s="166">
        <f>'[6]Consolidated Fin Report DEC (2'!$M$16</f>
        <v>103252</v>
      </c>
      <c r="O17" s="167"/>
      <c r="P17" s="171">
        <f t="shared" si="2"/>
        <v>103252</v>
      </c>
      <c r="Q17" s="11"/>
      <c r="R17" s="6"/>
      <c r="S17" s="6"/>
      <c r="T17" s="6"/>
      <c r="U17" s="6"/>
      <c r="V17" s="6"/>
    </row>
    <row r="18" spans="1:22" ht="26.25" customHeight="1" x14ac:dyDescent="0.25">
      <c r="A18" s="102" t="s">
        <v>94</v>
      </c>
      <c r="B18" s="49" t="s">
        <v>1</v>
      </c>
      <c r="C18" s="50"/>
      <c r="D18" s="50">
        <f>739705+2000000</f>
        <v>2739705</v>
      </c>
      <c r="E18" s="18">
        <f t="shared" si="0"/>
        <v>2739705</v>
      </c>
      <c r="F18" s="50"/>
      <c r="G18" s="123">
        <v>374501</v>
      </c>
      <c r="H18" s="123">
        <f>1893092+351914</f>
        <v>2245006</v>
      </c>
      <c r="I18" s="9">
        <f>G18+H18</f>
        <v>2619507</v>
      </c>
      <c r="J18" s="9">
        <f t="shared" si="1"/>
        <v>2619507</v>
      </c>
      <c r="K18" s="117"/>
      <c r="L18" s="129"/>
      <c r="M18" s="180"/>
      <c r="N18" s="175"/>
      <c r="O18" s="167"/>
      <c r="P18" s="171">
        <f t="shared" si="2"/>
        <v>0</v>
      </c>
      <c r="Q18" s="11"/>
      <c r="R18" s="6"/>
      <c r="S18" s="6"/>
      <c r="T18" s="6"/>
      <c r="U18" s="6"/>
      <c r="V18" s="6"/>
    </row>
    <row r="19" spans="1:22" ht="24" customHeight="1" x14ac:dyDescent="0.25">
      <c r="A19" s="103" t="s">
        <v>21</v>
      </c>
      <c r="B19" s="49"/>
      <c r="C19" s="51">
        <f t="shared" ref="C19:G19" si="3">SUM(C14:C18)</f>
        <v>21242983</v>
      </c>
      <c r="D19" s="51">
        <f t="shared" si="3"/>
        <v>8364715</v>
      </c>
      <c r="E19" s="51">
        <f t="shared" si="3"/>
        <v>29607698</v>
      </c>
      <c r="F19" s="51">
        <f t="shared" si="3"/>
        <v>16677386</v>
      </c>
      <c r="G19" s="125">
        <f t="shared" si="3"/>
        <v>5339623</v>
      </c>
      <c r="H19" s="126">
        <f t="shared" ref="H19" si="4">SUM(H14:H18)</f>
        <v>5155222</v>
      </c>
      <c r="I19" s="47">
        <f>SUM(I14:I18)</f>
        <v>10494845</v>
      </c>
      <c r="J19" s="47">
        <f>SUM(J14:J18)</f>
        <v>27172231</v>
      </c>
      <c r="K19" s="117">
        <f>J19/E19</f>
        <v>0.91774210207088713</v>
      </c>
      <c r="L19" s="129"/>
      <c r="M19" s="149">
        <f>SUM(M14:M18)</f>
        <v>4376347.57</v>
      </c>
      <c r="N19" s="150">
        <f>SUM(N14:N18)</f>
        <v>9956288</v>
      </c>
      <c r="O19" s="148">
        <f>SUM(O14:O18)</f>
        <v>5146862</v>
      </c>
      <c r="P19" s="151">
        <f>SUM(P14:P18)</f>
        <v>15103150</v>
      </c>
      <c r="Q19" s="152"/>
    </row>
    <row r="20" spans="1:22" ht="21" customHeight="1" x14ac:dyDescent="0.25">
      <c r="A20" s="227" t="s">
        <v>5</v>
      </c>
      <c r="B20" s="228"/>
      <c r="C20" s="228"/>
      <c r="D20" s="228"/>
      <c r="E20" s="228"/>
      <c r="F20" s="228"/>
      <c r="G20" s="228"/>
      <c r="H20" s="228"/>
      <c r="I20" s="228"/>
      <c r="J20" s="228"/>
      <c r="K20" s="228"/>
      <c r="L20" s="120"/>
      <c r="M20" s="141"/>
      <c r="N20" s="142"/>
      <c r="O20" s="142"/>
      <c r="P20" s="142"/>
      <c r="Q20" s="142"/>
    </row>
    <row r="21" spans="1:22" ht="22.5" customHeight="1" x14ac:dyDescent="0.25">
      <c r="A21" s="239" t="s">
        <v>60</v>
      </c>
      <c r="B21" s="49" t="s">
        <v>1</v>
      </c>
      <c r="C21" s="18">
        <f>517699+'[5]FAO 2013-2014 '!$P$50+5352</f>
        <v>831640</v>
      </c>
      <c r="D21" s="18">
        <v>295459</v>
      </c>
      <c r="E21" s="18">
        <f>C21+D21</f>
        <v>1127099</v>
      </c>
      <c r="F21" s="18">
        <f>197990+203586+290457</f>
        <v>692033</v>
      </c>
      <c r="G21" s="122">
        <v>33185</v>
      </c>
      <c r="H21" s="122">
        <f>12312+152496</f>
        <v>164808</v>
      </c>
      <c r="I21" s="9">
        <f t="shared" ref="I21:I31" si="5">G21+H21</f>
        <v>197993</v>
      </c>
      <c r="J21" s="9">
        <f>F21+I21</f>
        <v>890026</v>
      </c>
      <c r="K21" s="117"/>
      <c r="L21" s="129"/>
      <c r="M21" s="173">
        <v>331219</v>
      </c>
      <c r="N21" s="174">
        <v>354501</v>
      </c>
      <c r="O21" s="174">
        <v>18626</v>
      </c>
      <c r="P21" s="153">
        <f>SUM(N21:O21)</f>
        <v>373127</v>
      </c>
      <c r="Q21" s="153"/>
    </row>
    <row r="22" spans="1:22" ht="26.25" customHeight="1" x14ac:dyDescent="0.25">
      <c r="A22" s="239"/>
      <c r="B22" s="49" t="s">
        <v>2</v>
      </c>
      <c r="C22" s="18">
        <f>1841109+'[5]UNDP 2013-2014 '!$R$34+327103</f>
        <v>3310198</v>
      </c>
      <c r="D22" s="18">
        <f>317724+100000</f>
        <v>417724</v>
      </c>
      <c r="E22" s="18">
        <f t="shared" ref="E22:E31" si="6">C22+D22</f>
        <v>3727922</v>
      </c>
      <c r="F22" s="18">
        <f>802655+556151+915608</f>
        <v>2274414</v>
      </c>
      <c r="G22" s="122">
        <v>343690</v>
      </c>
      <c r="H22" s="122">
        <f>131026+195525</f>
        <v>326551</v>
      </c>
      <c r="I22" s="9">
        <f t="shared" si="5"/>
        <v>670241</v>
      </c>
      <c r="J22" s="9">
        <f t="shared" ref="J22:J31" si="7">F22+I22</f>
        <v>2944655</v>
      </c>
      <c r="K22" s="117"/>
      <c r="L22" s="130"/>
      <c r="M22" s="173">
        <v>774202</v>
      </c>
      <c r="N22" s="174">
        <v>832585</v>
      </c>
      <c r="O22" s="174">
        <v>1065616</v>
      </c>
      <c r="P22" s="153">
        <f t="shared" ref="P22:P32" si="8">SUM(N22:O22)</f>
        <v>1898201</v>
      </c>
      <c r="Q22" s="153"/>
    </row>
    <row r="23" spans="1:22" ht="24" customHeight="1" x14ac:dyDescent="0.25">
      <c r="A23" s="64" t="s">
        <v>61</v>
      </c>
      <c r="B23" s="49" t="s">
        <v>2</v>
      </c>
      <c r="C23" s="18">
        <f>2312486+'[5]UNDP 2013-2014 '!$R$48+961916</f>
        <v>5314890.2</v>
      </c>
      <c r="D23" s="18">
        <v>1436384</v>
      </c>
      <c r="E23" s="18">
        <f t="shared" si="6"/>
        <v>6751274.2000000002</v>
      </c>
      <c r="F23" s="18">
        <f>82556+1586292+2628352</f>
        <v>4297200</v>
      </c>
      <c r="G23" s="122">
        <v>1556714</v>
      </c>
      <c r="H23" s="122">
        <f>64833+1163397</f>
        <v>1228230</v>
      </c>
      <c r="I23" s="9">
        <f t="shared" si="5"/>
        <v>2784944</v>
      </c>
      <c r="J23" s="9">
        <f t="shared" si="7"/>
        <v>7082144</v>
      </c>
      <c r="K23" s="117"/>
      <c r="L23" s="129"/>
      <c r="M23" s="173">
        <v>1179633</v>
      </c>
      <c r="N23" s="174">
        <v>3016861</v>
      </c>
      <c r="O23" s="174">
        <v>987755</v>
      </c>
      <c r="P23" s="153">
        <f t="shared" si="8"/>
        <v>4004616</v>
      </c>
      <c r="Q23" s="153"/>
    </row>
    <row r="24" spans="1:22" ht="25.5" customHeight="1" x14ac:dyDescent="0.25">
      <c r="A24" s="63" t="s">
        <v>95</v>
      </c>
      <c r="B24" s="49" t="s">
        <v>2</v>
      </c>
      <c r="C24" s="18"/>
      <c r="D24" s="18">
        <f>1436384+500000</f>
        <v>1936384</v>
      </c>
      <c r="E24" s="18">
        <f t="shared" si="6"/>
        <v>1936384</v>
      </c>
      <c r="F24" s="18"/>
      <c r="G24" s="122"/>
      <c r="H24" s="122">
        <v>1118043</v>
      </c>
      <c r="I24" s="9">
        <f t="shared" si="5"/>
        <v>1118043</v>
      </c>
      <c r="J24" s="9">
        <f t="shared" si="7"/>
        <v>1118043</v>
      </c>
      <c r="K24" s="117"/>
      <c r="L24" s="129"/>
      <c r="M24" s="173">
        <v>277569</v>
      </c>
      <c r="N24" s="174">
        <v>244882</v>
      </c>
      <c r="O24" s="174">
        <v>537736</v>
      </c>
      <c r="P24" s="153">
        <f t="shared" si="8"/>
        <v>782618</v>
      </c>
      <c r="Q24" s="153"/>
    </row>
    <row r="25" spans="1:22" ht="25.5" customHeight="1" x14ac:dyDescent="0.25">
      <c r="A25" s="240" t="s">
        <v>62</v>
      </c>
      <c r="B25" s="49" t="s">
        <v>1</v>
      </c>
      <c r="C25" s="18">
        <f>549128+'[5]FAO 2013-2014 '!$P$64+396159</f>
        <v>1255641</v>
      </c>
      <c r="D25" s="18">
        <v>391992</v>
      </c>
      <c r="E25" s="18">
        <f t="shared" si="6"/>
        <v>1647633</v>
      </c>
      <c r="F25" s="18">
        <f>179204+287177+187726</f>
        <v>654107</v>
      </c>
      <c r="G25" s="123">
        <v>161527</v>
      </c>
      <c r="H25" s="123">
        <f>310663+117305</f>
        <v>427968</v>
      </c>
      <c r="I25" s="9">
        <f t="shared" si="5"/>
        <v>589495</v>
      </c>
      <c r="J25" s="9">
        <f t="shared" si="7"/>
        <v>1243602</v>
      </c>
      <c r="K25" s="117"/>
      <c r="L25" s="129"/>
      <c r="M25" s="173">
        <v>30526</v>
      </c>
      <c r="N25" s="174">
        <v>209758</v>
      </c>
      <c r="O25" s="174"/>
      <c r="P25" s="153">
        <f t="shared" si="8"/>
        <v>209758</v>
      </c>
      <c r="Q25" s="153"/>
    </row>
    <row r="26" spans="1:22" ht="24.75" customHeight="1" x14ac:dyDescent="0.25">
      <c r="A26" s="241"/>
      <c r="B26" s="49" t="s">
        <v>3</v>
      </c>
      <c r="C26" s="18">
        <v>275000</v>
      </c>
      <c r="D26" s="18"/>
      <c r="E26" s="18">
        <f t="shared" si="6"/>
        <v>275000</v>
      </c>
      <c r="F26" s="18">
        <v>240284</v>
      </c>
      <c r="G26" s="123">
        <v>34716</v>
      </c>
      <c r="H26" s="123"/>
      <c r="I26" s="9">
        <f t="shared" si="5"/>
        <v>34716</v>
      </c>
      <c r="J26" s="9">
        <f t="shared" si="7"/>
        <v>275000</v>
      </c>
      <c r="K26" s="117"/>
      <c r="L26" s="129"/>
      <c r="M26" s="173">
        <v>840553</v>
      </c>
      <c r="N26" s="174">
        <v>361010</v>
      </c>
      <c r="O26" s="174">
        <v>1106656</v>
      </c>
      <c r="P26" s="153">
        <f t="shared" si="8"/>
        <v>1467666</v>
      </c>
      <c r="Q26" s="153"/>
    </row>
    <row r="27" spans="1:22" ht="25.5" customHeight="1" x14ac:dyDescent="0.25">
      <c r="A27" s="52" t="s">
        <v>63</v>
      </c>
      <c r="B27" s="49" t="s">
        <v>2</v>
      </c>
      <c r="C27" s="50">
        <f>859803+'[5]UNDP 2013-2014 '!$R$62+514019</f>
        <v>1816872</v>
      </c>
      <c r="D27" s="50">
        <f>653207+100000</f>
        <v>753207</v>
      </c>
      <c r="E27" s="18">
        <f t="shared" si="6"/>
        <v>2570079</v>
      </c>
      <c r="F27" s="50">
        <f>59492+463081+676495</f>
        <v>1199068</v>
      </c>
      <c r="G27" s="123">
        <v>430035</v>
      </c>
      <c r="H27" s="123">
        <f>930867+375942</f>
        <v>1306809</v>
      </c>
      <c r="I27" s="9">
        <f t="shared" si="5"/>
        <v>1736844</v>
      </c>
      <c r="J27" s="9">
        <f t="shared" si="7"/>
        <v>2935912</v>
      </c>
      <c r="K27" s="117"/>
      <c r="L27" s="129"/>
      <c r="M27" s="173">
        <v>248057</v>
      </c>
      <c r="N27" s="174">
        <v>304565</v>
      </c>
      <c r="O27" s="174">
        <v>190200</v>
      </c>
      <c r="P27" s="153">
        <f t="shared" si="8"/>
        <v>494765</v>
      </c>
      <c r="Q27" s="153"/>
    </row>
    <row r="28" spans="1:22" ht="27" customHeight="1" x14ac:dyDescent="0.25">
      <c r="A28" s="53" t="s">
        <v>64</v>
      </c>
      <c r="B28" s="49" t="s">
        <v>1</v>
      </c>
      <c r="C28" s="18">
        <f>602891+'[5]FAO 2013-2014 '!$P$79+276399</f>
        <v>1298329</v>
      </c>
      <c r="D28" s="18">
        <v>214721</v>
      </c>
      <c r="E28" s="18">
        <f t="shared" si="6"/>
        <v>1513050</v>
      </c>
      <c r="F28" s="18">
        <f>162982+203205+276636</f>
        <v>642823</v>
      </c>
      <c r="G28" s="123">
        <v>95413</v>
      </c>
      <c r="H28" s="123">
        <f>100000+93844</f>
        <v>193844</v>
      </c>
      <c r="I28" s="9">
        <f t="shared" si="5"/>
        <v>289257</v>
      </c>
      <c r="J28" s="9">
        <f t="shared" si="7"/>
        <v>932080</v>
      </c>
      <c r="K28" s="117"/>
      <c r="L28" s="129"/>
      <c r="M28" s="173">
        <v>882045</v>
      </c>
      <c r="N28" s="174">
        <v>596269</v>
      </c>
      <c r="O28" s="174">
        <v>625465</v>
      </c>
      <c r="P28" s="153">
        <f t="shared" si="8"/>
        <v>1221734</v>
      </c>
      <c r="Q28" s="153"/>
    </row>
    <row r="29" spans="1:22" ht="29.25" customHeight="1" x14ac:dyDescent="0.25">
      <c r="A29" s="53" t="s">
        <v>65</v>
      </c>
      <c r="B29" s="49" t="s">
        <v>2</v>
      </c>
      <c r="C29" s="50">
        <f>1332774+'[5]UNDP 2013-2014 '!$R$77+514019</f>
        <v>2299243</v>
      </c>
      <c r="D29" s="50">
        <v>345240</v>
      </c>
      <c r="E29" s="18">
        <f t="shared" si="6"/>
        <v>2644483</v>
      </c>
      <c r="F29" s="50">
        <f>593838+541581+623215</f>
        <v>1758634</v>
      </c>
      <c r="G29" s="123">
        <v>218085</v>
      </c>
      <c r="H29" s="123">
        <f>340984+145462</f>
        <v>486446</v>
      </c>
      <c r="I29" s="9">
        <f t="shared" si="5"/>
        <v>704531</v>
      </c>
      <c r="J29" s="9">
        <f t="shared" si="7"/>
        <v>2463165</v>
      </c>
      <c r="K29" s="117"/>
      <c r="L29" s="130"/>
      <c r="M29" s="173">
        <v>512466</v>
      </c>
      <c r="N29" s="174">
        <v>218189</v>
      </c>
      <c r="O29" s="174">
        <v>242991</v>
      </c>
      <c r="P29" s="153">
        <f t="shared" si="8"/>
        <v>461180</v>
      </c>
      <c r="Q29" s="153"/>
    </row>
    <row r="30" spans="1:22" ht="24.75" customHeight="1" x14ac:dyDescent="0.25">
      <c r="A30" s="53" t="s">
        <v>66</v>
      </c>
      <c r="B30" s="49" t="s">
        <v>1</v>
      </c>
      <c r="C30" s="18">
        <f>509967+'[5]FAO 2013-2014 '!$P$93+113060</f>
        <v>998113</v>
      </c>
      <c r="D30" s="18">
        <f>325114+500000</f>
        <v>825114</v>
      </c>
      <c r="E30" s="18">
        <f t="shared" si="6"/>
        <v>1823227</v>
      </c>
      <c r="F30" s="18">
        <f>197090+373072+160493</f>
        <v>730655</v>
      </c>
      <c r="G30" s="123">
        <v>248793</v>
      </c>
      <c r="H30" s="123">
        <f>622271+23461</f>
        <v>645732</v>
      </c>
      <c r="I30" s="9">
        <f t="shared" si="5"/>
        <v>894525</v>
      </c>
      <c r="J30" s="9">
        <f t="shared" si="7"/>
        <v>1625180</v>
      </c>
      <c r="K30" s="117"/>
      <c r="L30" s="129"/>
      <c r="M30" s="173">
        <v>304418</v>
      </c>
      <c r="N30" s="174">
        <v>22751</v>
      </c>
      <c r="O30" s="174">
        <v>115000</v>
      </c>
      <c r="P30" s="153">
        <f t="shared" si="8"/>
        <v>137751</v>
      </c>
      <c r="Q30" s="153"/>
    </row>
    <row r="31" spans="1:22" ht="23.25" customHeight="1" x14ac:dyDescent="0.25">
      <c r="A31" s="53" t="s">
        <v>72</v>
      </c>
      <c r="B31" s="49" t="s">
        <v>2</v>
      </c>
      <c r="C31" s="50">
        <f>359848+'[5]UNDP 2013-2014 '!$R$105+233645</f>
        <v>713493</v>
      </c>
      <c r="D31" s="50">
        <f>50000+100000</f>
        <v>150000</v>
      </c>
      <c r="E31" s="18">
        <f t="shared" si="6"/>
        <v>863493</v>
      </c>
      <c r="F31" s="50">
        <f>50885+199390+82744</f>
        <v>333019</v>
      </c>
      <c r="G31" s="123">
        <v>55353</v>
      </c>
      <c r="H31" s="123">
        <f>23279+34300</f>
        <v>57579</v>
      </c>
      <c r="I31" s="9">
        <f t="shared" si="5"/>
        <v>112932</v>
      </c>
      <c r="J31" s="9">
        <f t="shared" si="7"/>
        <v>445951</v>
      </c>
      <c r="K31" s="117"/>
      <c r="L31" s="129"/>
      <c r="M31" s="173"/>
      <c r="N31" s="174"/>
      <c r="O31" s="174"/>
      <c r="P31" s="153">
        <f t="shared" si="8"/>
        <v>0</v>
      </c>
      <c r="Q31" s="153"/>
    </row>
    <row r="32" spans="1:22" ht="26.25" customHeight="1" x14ac:dyDescent="0.25">
      <c r="A32" s="54" t="s">
        <v>15</v>
      </c>
      <c r="B32" s="15"/>
      <c r="C32" s="51">
        <f>SUM(C21:C31)</f>
        <v>18113419.199999999</v>
      </c>
      <c r="D32" s="51">
        <f>SUM(D21:D31)</f>
        <v>6766225</v>
      </c>
      <c r="E32" s="51">
        <f>SUM(E21:E31)</f>
        <v>24879644.199999999</v>
      </c>
      <c r="F32" s="51">
        <f>SUM(F21:F31)</f>
        <v>12822237</v>
      </c>
      <c r="G32" s="125">
        <f>SUM(G21:G31)</f>
        <v>3177511</v>
      </c>
      <c r="H32" s="125">
        <f t="shared" ref="H32" si="9">SUM(H21:H31)</f>
        <v>5956010</v>
      </c>
      <c r="I32" s="47">
        <f>SUM(I21:I31)</f>
        <v>9133521</v>
      </c>
      <c r="J32" s="47">
        <f>SUM(J21:J31)</f>
        <v>21955758</v>
      </c>
      <c r="K32" s="117">
        <f>J32/E32</f>
        <v>0.8824787775702998</v>
      </c>
      <c r="L32" s="130"/>
      <c r="M32" s="146">
        <f>SUM(M21:M31)</f>
        <v>5380688</v>
      </c>
      <c r="N32" s="151">
        <f>SUM(N21:N31)</f>
        <v>6161371</v>
      </c>
      <c r="O32" s="151">
        <f>SUM(O21:O31)</f>
        <v>4890045</v>
      </c>
      <c r="P32" s="151">
        <f t="shared" si="8"/>
        <v>11051416</v>
      </c>
      <c r="Q32" s="151"/>
    </row>
    <row r="33" spans="1:17" ht="27.75" customHeight="1" x14ac:dyDescent="0.25">
      <c r="A33" s="227" t="s">
        <v>32</v>
      </c>
      <c r="B33" s="228"/>
      <c r="C33" s="228"/>
      <c r="D33" s="228"/>
      <c r="E33" s="228"/>
      <c r="F33" s="228"/>
      <c r="G33" s="228"/>
      <c r="H33" s="228"/>
      <c r="I33" s="228"/>
      <c r="J33" s="228"/>
      <c r="K33" s="228"/>
      <c r="L33" s="120"/>
      <c r="M33" s="142"/>
      <c r="N33" s="142"/>
      <c r="O33" s="142"/>
      <c r="P33" s="142"/>
      <c r="Q33" s="142"/>
    </row>
    <row r="34" spans="1:17" ht="24.75" customHeight="1" x14ac:dyDescent="0.25">
      <c r="A34" s="56" t="s">
        <v>67</v>
      </c>
      <c r="B34" s="49" t="s">
        <v>1</v>
      </c>
      <c r="C34" s="18">
        <f>178096</f>
        <v>178096</v>
      </c>
      <c r="D34" s="18"/>
      <c r="E34" s="18">
        <f>C34+D34</f>
        <v>178096</v>
      </c>
      <c r="F34" s="18">
        <v>80168</v>
      </c>
      <c r="G34" s="122"/>
      <c r="H34" s="122"/>
      <c r="I34" s="9"/>
      <c r="J34" s="9">
        <f>F34+I34</f>
        <v>80168</v>
      </c>
      <c r="K34" s="117"/>
      <c r="L34" s="129"/>
      <c r="M34" s="167">
        <v>80168</v>
      </c>
      <c r="N34" s="175"/>
      <c r="O34" s="167"/>
      <c r="P34" s="12"/>
      <c r="Q34" s="12"/>
    </row>
    <row r="35" spans="1:17" ht="24.75" customHeight="1" x14ac:dyDescent="0.25">
      <c r="A35" s="22" t="s">
        <v>68</v>
      </c>
      <c r="B35" s="49" t="s">
        <v>2</v>
      </c>
      <c r="C35" s="18">
        <v>247305</v>
      </c>
      <c r="D35" s="18"/>
      <c r="E35" s="18">
        <f>C35+D35</f>
        <v>247305</v>
      </c>
      <c r="F35" s="18">
        <f>30807+69347</f>
        <v>100154</v>
      </c>
      <c r="G35" s="122">
        <v>1511</v>
      </c>
      <c r="H35" s="122">
        <v>9694</v>
      </c>
      <c r="I35" s="9">
        <f>G35+H35</f>
        <v>11205</v>
      </c>
      <c r="J35" s="9">
        <f>F35+I35</f>
        <v>111359</v>
      </c>
      <c r="K35" s="117"/>
      <c r="L35" s="129"/>
      <c r="M35" s="167">
        <v>69347</v>
      </c>
      <c r="N35" s="175"/>
      <c r="O35" s="167">
        <v>30806</v>
      </c>
      <c r="P35" s="147">
        <f>SUM(N35:O35)</f>
        <v>30806</v>
      </c>
      <c r="Q35" s="12"/>
    </row>
    <row r="36" spans="1:17" ht="20.25" customHeight="1" x14ac:dyDescent="0.25">
      <c r="A36" s="103" t="s">
        <v>16</v>
      </c>
      <c r="B36" s="15"/>
      <c r="C36" s="51">
        <f>SUM(C34:C35)</f>
        <v>425401</v>
      </c>
      <c r="D36" s="51"/>
      <c r="E36" s="51">
        <f>C36+D36</f>
        <v>425401</v>
      </c>
      <c r="F36" s="51">
        <f>SUM(F34:F35)</f>
        <v>180322</v>
      </c>
      <c r="G36" s="125">
        <f>SUM(G34:G35)</f>
        <v>1511</v>
      </c>
      <c r="H36" s="125">
        <f t="shared" ref="H36" si="10">SUM(H34:H35)</f>
        <v>9694</v>
      </c>
      <c r="I36" s="47">
        <f>SUM(I34:I35)</f>
        <v>11205</v>
      </c>
      <c r="J36" s="47">
        <f>SUM(J34:J35)</f>
        <v>191527</v>
      </c>
      <c r="K36" s="117">
        <f>J36/E36</f>
        <v>0.45022696232495929</v>
      </c>
      <c r="L36" s="129"/>
      <c r="M36" s="148">
        <f>SUM(M34:M35)</f>
        <v>149515</v>
      </c>
      <c r="N36" s="152"/>
      <c r="O36" s="148">
        <f>SUM(O34:O35)</f>
        <v>30806</v>
      </c>
      <c r="P36" s="148">
        <f>SUM(N36:O36)</f>
        <v>30806</v>
      </c>
      <c r="Q36" s="152"/>
    </row>
    <row r="37" spans="1:17" ht="30.75" customHeight="1" x14ac:dyDescent="0.25">
      <c r="A37" s="242" t="s">
        <v>11</v>
      </c>
      <c r="B37" s="243"/>
      <c r="C37" s="243"/>
      <c r="D37" s="243"/>
      <c r="E37" s="243"/>
      <c r="F37" s="243"/>
      <c r="G37" s="243"/>
      <c r="H37" s="243"/>
      <c r="I37" s="243"/>
      <c r="J37" s="243"/>
      <c r="K37" s="243"/>
      <c r="L37" s="120"/>
      <c r="M37" s="142"/>
      <c r="N37" s="142"/>
      <c r="O37" s="142"/>
      <c r="P37" s="142"/>
      <c r="Q37" s="142"/>
    </row>
    <row r="38" spans="1:17" ht="27.75" customHeight="1" x14ac:dyDescent="0.25">
      <c r="A38" s="22" t="s">
        <v>69</v>
      </c>
      <c r="B38" s="49" t="s">
        <v>2</v>
      </c>
      <c r="C38" s="50">
        <f>598417+'[5]UNDP 2013-2014 '!$R$123+620000</f>
        <v>1466917</v>
      </c>
      <c r="D38" s="50">
        <v>384879</v>
      </c>
      <c r="E38" s="50">
        <f>C38+D38</f>
        <v>1851796</v>
      </c>
      <c r="F38" s="50">
        <f>128041+95156+260658</f>
        <v>483855</v>
      </c>
      <c r="G38" s="123">
        <v>141877</v>
      </c>
      <c r="H38" s="123">
        <f>36214+161121</f>
        <v>197335</v>
      </c>
      <c r="I38" s="50">
        <f t="shared" ref="I38:I43" si="11">G38+H38</f>
        <v>339212</v>
      </c>
      <c r="J38" s="50">
        <f>F38+I38</f>
        <v>823067</v>
      </c>
      <c r="K38" s="117"/>
      <c r="L38" s="129"/>
      <c r="M38" s="176">
        <v>481730</v>
      </c>
      <c r="N38" s="167"/>
      <c r="O38" s="167">
        <v>43786</v>
      </c>
      <c r="P38" s="147">
        <f>SUM(N38:O38)</f>
        <v>43786</v>
      </c>
      <c r="Q38" s="12"/>
    </row>
    <row r="39" spans="1:17" ht="25.5" customHeight="1" x14ac:dyDescent="0.25">
      <c r="A39" s="22" t="s">
        <v>70</v>
      </c>
      <c r="B39" s="49" t="s">
        <v>2</v>
      </c>
      <c r="C39" s="50">
        <f>736583+'[5]UNDP 2013-2014 '!$R$137</f>
        <v>1011199</v>
      </c>
      <c r="D39" s="50">
        <v>79679</v>
      </c>
      <c r="E39" s="50">
        <f t="shared" ref="E39:E43" si="12">C39+D39</f>
        <v>1090878</v>
      </c>
      <c r="F39" s="50">
        <f>390272+377584+360023</f>
        <v>1127879</v>
      </c>
      <c r="G39" s="123">
        <v>166960</v>
      </c>
      <c r="H39" s="123">
        <v>110610</v>
      </c>
      <c r="I39" s="50">
        <f t="shared" si="11"/>
        <v>277570</v>
      </c>
      <c r="J39" s="50">
        <f t="shared" ref="J39:J43" si="13">F39+I39</f>
        <v>1405449</v>
      </c>
      <c r="K39" s="117"/>
      <c r="L39" s="129"/>
      <c r="M39" s="176">
        <v>1000091</v>
      </c>
      <c r="N39" s="167">
        <v>248375</v>
      </c>
      <c r="O39" s="167"/>
      <c r="P39" s="147">
        <f t="shared" ref="P39:P43" si="14">SUM(N39:O39)</f>
        <v>248375</v>
      </c>
      <c r="Q39" s="12"/>
    </row>
    <row r="40" spans="1:17" ht="25.5" customHeight="1" x14ac:dyDescent="0.25">
      <c r="A40" s="22" t="s">
        <v>71</v>
      </c>
      <c r="B40" s="49" t="s">
        <v>2</v>
      </c>
      <c r="C40" s="50">
        <f>936280+'[5]UNDP 2013-2014 '!$R$151+685000</f>
        <v>2273280</v>
      </c>
      <c r="D40" s="50">
        <f>953650+300000</f>
        <v>1253650</v>
      </c>
      <c r="E40" s="50">
        <f t="shared" si="12"/>
        <v>3526930</v>
      </c>
      <c r="F40" s="50">
        <f>69958+663577+762393</f>
        <v>1495928</v>
      </c>
      <c r="G40" s="123">
        <v>342851</v>
      </c>
      <c r="H40" s="123">
        <f>410287+397352</f>
        <v>807639</v>
      </c>
      <c r="I40" s="50">
        <f t="shared" si="11"/>
        <v>1150490</v>
      </c>
      <c r="J40" s="50">
        <f t="shared" si="13"/>
        <v>2646418</v>
      </c>
      <c r="K40" s="117"/>
      <c r="L40" s="129"/>
      <c r="M40" s="176">
        <v>418778</v>
      </c>
      <c r="N40" s="167">
        <v>894817</v>
      </c>
      <c r="O40" s="167">
        <v>585333</v>
      </c>
      <c r="P40" s="147">
        <f t="shared" si="14"/>
        <v>1480150</v>
      </c>
      <c r="Q40" s="12"/>
    </row>
    <row r="41" spans="1:17" ht="25.5" customHeight="1" x14ac:dyDescent="0.25">
      <c r="A41" s="22" t="s">
        <v>73</v>
      </c>
      <c r="B41" s="49" t="s">
        <v>2</v>
      </c>
      <c r="C41" s="50">
        <f>638793+'[5]UNDP 2013-2014 '!$R$165+475000</f>
        <v>1267243</v>
      </c>
      <c r="D41" s="50">
        <f>216175+100000</f>
        <v>316175</v>
      </c>
      <c r="E41" s="50">
        <f t="shared" si="12"/>
        <v>1583418</v>
      </c>
      <c r="F41" s="50">
        <f>300715+227349+280521</f>
        <v>808585</v>
      </c>
      <c r="G41" s="123">
        <v>88874</v>
      </c>
      <c r="H41" s="123">
        <f>267+30269</f>
        <v>30536</v>
      </c>
      <c r="I41" s="50">
        <f t="shared" si="11"/>
        <v>119410</v>
      </c>
      <c r="J41" s="50">
        <f t="shared" si="13"/>
        <v>927995</v>
      </c>
      <c r="K41" s="117"/>
      <c r="L41" s="129"/>
      <c r="M41" s="176">
        <v>467137</v>
      </c>
      <c r="N41" s="167">
        <v>225569</v>
      </c>
      <c r="O41" s="167">
        <v>132679</v>
      </c>
      <c r="P41" s="147">
        <f t="shared" si="14"/>
        <v>358248</v>
      </c>
      <c r="Q41" s="12"/>
    </row>
    <row r="42" spans="1:17" ht="23.25" customHeight="1" x14ac:dyDescent="0.25">
      <c r="A42" s="22" t="s">
        <v>74</v>
      </c>
      <c r="B42" s="49" t="s">
        <v>3</v>
      </c>
      <c r="C42" s="50">
        <f>455000+'[5]UNEP 2013-2014 '!$P$26+1675000</f>
        <v>2450000</v>
      </c>
      <c r="D42" s="50">
        <v>1206000</v>
      </c>
      <c r="E42" s="50">
        <f t="shared" si="12"/>
        <v>3656000</v>
      </c>
      <c r="F42" s="50">
        <f>188897+266103+913579</f>
        <v>1368579</v>
      </c>
      <c r="G42" s="123">
        <v>1081422</v>
      </c>
      <c r="H42" s="123">
        <f>225000+819511</f>
        <v>1044511</v>
      </c>
      <c r="I42" s="50">
        <f t="shared" si="11"/>
        <v>2125933</v>
      </c>
      <c r="J42" s="50">
        <f t="shared" si="13"/>
        <v>3494512</v>
      </c>
      <c r="K42" s="117"/>
      <c r="L42" s="129"/>
      <c r="M42" s="169">
        <v>540780</v>
      </c>
      <c r="N42" s="167">
        <v>1815684</v>
      </c>
      <c r="O42" s="167"/>
      <c r="P42" s="147">
        <f t="shared" si="14"/>
        <v>1815684</v>
      </c>
      <c r="Q42" s="12"/>
    </row>
    <row r="43" spans="1:17" ht="24.75" customHeight="1" x14ac:dyDescent="0.25">
      <c r="A43" s="22" t="s">
        <v>92</v>
      </c>
      <c r="B43" s="49" t="s">
        <v>2</v>
      </c>
      <c r="C43" s="50">
        <f>3738318</f>
        <v>3738318</v>
      </c>
      <c r="D43" s="50"/>
      <c r="E43" s="50">
        <f t="shared" si="12"/>
        <v>3738318</v>
      </c>
      <c r="F43" s="50">
        <v>140045</v>
      </c>
      <c r="G43" s="123">
        <v>103264</v>
      </c>
      <c r="H43" s="123">
        <v>3495008</v>
      </c>
      <c r="I43" s="50">
        <f t="shared" si="11"/>
        <v>3598272</v>
      </c>
      <c r="J43" s="50">
        <f t="shared" si="13"/>
        <v>3738317</v>
      </c>
      <c r="K43" s="117"/>
      <c r="L43" s="129"/>
      <c r="M43" s="176">
        <v>140045</v>
      </c>
      <c r="N43" s="167">
        <v>3598273</v>
      </c>
      <c r="O43" s="167"/>
      <c r="P43" s="147">
        <f t="shared" si="14"/>
        <v>3598273</v>
      </c>
      <c r="Q43" s="12"/>
    </row>
    <row r="44" spans="1:17" ht="21" customHeight="1" x14ac:dyDescent="0.25">
      <c r="A44" s="103" t="s">
        <v>20</v>
      </c>
      <c r="B44" s="49"/>
      <c r="C44" s="47">
        <f>SUM(C38:C43)</f>
        <v>12206957</v>
      </c>
      <c r="D44" s="47">
        <f>SUM(D38:D43)</f>
        <v>3240383</v>
      </c>
      <c r="E44" s="47">
        <f>SUM(E38:E43)</f>
        <v>15447340</v>
      </c>
      <c r="F44" s="47">
        <f t="shared" ref="F44:J44" si="15">SUM(F38:F43)</f>
        <v>5424871</v>
      </c>
      <c r="G44" s="126">
        <f>SUM(G38:G43)</f>
        <v>1925248</v>
      </c>
      <c r="H44" s="126">
        <f t="shared" ref="H44" si="16">SUM(H38:H43)</f>
        <v>5685639</v>
      </c>
      <c r="I44" s="47">
        <f>SUM(I38:I43)</f>
        <v>7610887</v>
      </c>
      <c r="J44" s="47">
        <f t="shared" si="15"/>
        <v>13035758</v>
      </c>
      <c r="K44" s="117">
        <f>J44/E44</f>
        <v>0.84388367188137248</v>
      </c>
      <c r="L44" s="129"/>
      <c r="M44" s="155">
        <f>SUM(M38:M43)</f>
        <v>3048561</v>
      </c>
      <c r="N44" s="155">
        <f t="shared" ref="N44:P44" si="17">SUM(N38:N43)</f>
        <v>6782718</v>
      </c>
      <c r="O44" s="155">
        <f t="shared" si="17"/>
        <v>761798</v>
      </c>
      <c r="P44" s="155">
        <f t="shared" si="17"/>
        <v>7544516</v>
      </c>
      <c r="Q44" s="152"/>
    </row>
    <row r="45" spans="1:17" ht="21" customHeight="1" x14ac:dyDescent="0.25">
      <c r="A45" s="242" t="s">
        <v>12</v>
      </c>
      <c r="B45" s="243"/>
      <c r="C45" s="243"/>
      <c r="D45" s="243"/>
      <c r="E45" s="243"/>
      <c r="F45" s="243"/>
      <c r="G45" s="243"/>
      <c r="H45" s="243"/>
      <c r="I45" s="243"/>
      <c r="J45" s="243"/>
      <c r="K45" s="243"/>
      <c r="L45" s="120"/>
      <c r="M45" s="142"/>
      <c r="N45" s="142"/>
      <c r="O45" s="142"/>
      <c r="P45" s="142"/>
      <c r="Q45" s="142"/>
    </row>
    <row r="46" spans="1:17" ht="24.75" customHeight="1" x14ac:dyDescent="0.25">
      <c r="A46" s="237" t="s">
        <v>75</v>
      </c>
      <c r="B46" s="15" t="s">
        <v>2</v>
      </c>
      <c r="C46" s="50">
        <f>560340+'[5]UNDP 2013-2014 '!$R$183</f>
        <v>753390</v>
      </c>
      <c r="D46" s="50"/>
      <c r="E46" s="50">
        <f>C46+D46</f>
        <v>753390</v>
      </c>
      <c r="F46" s="50">
        <f>279763+64345-27449</f>
        <v>316659</v>
      </c>
      <c r="G46" s="123">
        <v>34624</v>
      </c>
      <c r="H46" s="123">
        <v>40000</v>
      </c>
      <c r="I46" s="50">
        <f t="shared" ref="I46:I53" si="18">G46+H46</f>
        <v>74624</v>
      </c>
      <c r="J46" s="50">
        <f>F46+I46</f>
        <v>391283</v>
      </c>
      <c r="K46" s="117"/>
      <c r="L46" s="129"/>
      <c r="M46" s="174">
        <v>183176</v>
      </c>
      <c r="N46" s="174">
        <v>133483</v>
      </c>
      <c r="O46" s="174">
        <v>40000</v>
      </c>
      <c r="P46" s="153">
        <f>SUM(N46:O46)</f>
        <v>173483</v>
      </c>
      <c r="Q46" s="153"/>
    </row>
    <row r="47" spans="1:17" ht="26.25" customHeight="1" x14ac:dyDescent="0.25">
      <c r="A47" s="237"/>
      <c r="B47" s="15" t="s">
        <v>3</v>
      </c>
      <c r="C47" s="50">
        <f>1299637+'[5]UNEP 2013-2014 '!$P$44</f>
        <v>2380575</v>
      </c>
      <c r="D47" s="50">
        <f>1139637+250000</f>
        <v>1389637</v>
      </c>
      <c r="E47" s="50">
        <f t="shared" ref="E47:E53" si="19">C47+D47</f>
        <v>3770212</v>
      </c>
      <c r="F47" s="50">
        <f>157152+703707+1095271</f>
        <v>1956130</v>
      </c>
      <c r="G47" s="123">
        <v>424445</v>
      </c>
      <c r="H47" s="123">
        <f>144293+960404</f>
        <v>1104697</v>
      </c>
      <c r="I47" s="50">
        <f t="shared" si="18"/>
        <v>1529142</v>
      </c>
      <c r="J47" s="50">
        <f t="shared" ref="J47:J53" si="20">F47+I47</f>
        <v>3485272</v>
      </c>
      <c r="K47" s="117"/>
      <c r="L47" s="130"/>
      <c r="M47" s="174">
        <v>462300</v>
      </c>
      <c r="N47" s="174">
        <v>1465929</v>
      </c>
      <c r="O47" s="174">
        <v>208900</v>
      </c>
      <c r="P47" s="153">
        <f t="shared" ref="P47:P53" si="21">SUM(N47:O47)</f>
        <v>1674829</v>
      </c>
      <c r="Q47" s="153"/>
    </row>
    <row r="48" spans="1:17" ht="25.5" customHeight="1" x14ac:dyDescent="0.25">
      <c r="A48" s="238" t="s">
        <v>76</v>
      </c>
      <c r="B48" s="15" t="s">
        <v>1</v>
      </c>
      <c r="C48" s="50">
        <f>748534+'[5]FAO 2013-2014 '!$P$135+595637</f>
        <v>1704765</v>
      </c>
      <c r="D48" s="50"/>
      <c r="E48" s="50">
        <f t="shared" si="19"/>
        <v>1704765</v>
      </c>
      <c r="F48" s="50">
        <f>337287+359689+363259</f>
        <v>1060235</v>
      </c>
      <c r="G48" s="123"/>
      <c r="H48" s="123">
        <v>415111</v>
      </c>
      <c r="I48" s="50">
        <f t="shared" si="18"/>
        <v>415111</v>
      </c>
      <c r="J48" s="50">
        <f t="shared" si="20"/>
        <v>1475346</v>
      </c>
      <c r="K48" s="117"/>
      <c r="L48" s="129"/>
      <c r="M48" s="174">
        <v>603233</v>
      </c>
      <c r="N48" s="174">
        <v>442158</v>
      </c>
      <c r="O48" s="174">
        <v>459471</v>
      </c>
      <c r="P48" s="153">
        <f t="shared" si="21"/>
        <v>901629</v>
      </c>
      <c r="Q48" s="153"/>
    </row>
    <row r="49" spans="1:17" ht="23.25" customHeight="1" x14ac:dyDescent="0.25">
      <c r="A49" s="238"/>
      <c r="B49" s="15" t="s">
        <v>2</v>
      </c>
      <c r="C49" s="50">
        <f>985096+'[5]UNDP 2013-2014 '!$R$197+374533</f>
        <v>1620364.6</v>
      </c>
      <c r="D49" s="50">
        <f>283235+250000</f>
        <v>533235</v>
      </c>
      <c r="E49" s="50">
        <f t="shared" si="19"/>
        <v>2153599.6</v>
      </c>
      <c r="F49" s="50">
        <f>445308+187501+197774</f>
        <v>830583</v>
      </c>
      <c r="G49" s="123">
        <v>106660</v>
      </c>
      <c r="H49" s="123">
        <f>17867+262341</f>
        <v>280208</v>
      </c>
      <c r="I49" s="50">
        <f t="shared" si="18"/>
        <v>386868</v>
      </c>
      <c r="J49" s="50">
        <f t="shared" si="20"/>
        <v>1217451</v>
      </c>
      <c r="K49" s="117"/>
      <c r="L49" s="130"/>
      <c r="M49" s="174">
        <v>306534</v>
      </c>
      <c r="N49" s="174">
        <v>539785</v>
      </c>
      <c r="O49" s="174">
        <v>55514</v>
      </c>
      <c r="P49" s="153">
        <f t="shared" si="21"/>
        <v>595299</v>
      </c>
      <c r="Q49" s="153"/>
    </row>
    <row r="50" spans="1:17" ht="24" customHeight="1" x14ac:dyDescent="0.25">
      <c r="A50" s="238"/>
      <c r="B50" s="15" t="s">
        <v>3</v>
      </c>
      <c r="C50" s="50">
        <f>1128104+'[5]UNEP 2013-2014 '!$P$58+733618</f>
        <v>2637801</v>
      </c>
      <c r="D50" s="50">
        <f>761156+250000</f>
        <v>1011156</v>
      </c>
      <c r="E50" s="50">
        <f t="shared" si="19"/>
        <v>3648957</v>
      </c>
      <c r="F50" s="50">
        <f>281783+569572+829777</f>
        <v>1681132</v>
      </c>
      <c r="G50" s="123">
        <v>956669</v>
      </c>
      <c r="H50" s="123">
        <f>25000+720895</f>
        <v>745895</v>
      </c>
      <c r="I50" s="50">
        <f t="shared" si="18"/>
        <v>1702564</v>
      </c>
      <c r="J50" s="50">
        <f t="shared" si="20"/>
        <v>3383696</v>
      </c>
      <c r="K50" s="117"/>
      <c r="L50" s="129"/>
      <c r="M50" s="174">
        <v>542687</v>
      </c>
      <c r="N50" s="174">
        <v>1138446</v>
      </c>
      <c r="O50" s="174">
        <v>115000</v>
      </c>
      <c r="P50" s="153">
        <f t="shared" si="21"/>
        <v>1253446</v>
      </c>
      <c r="Q50" s="153"/>
    </row>
    <row r="51" spans="1:17" ht="24.75" customHeight="1" x14ac:dyDescent="0.25">
      <c r="A51" s="233" t="s">
        <v>77</v>
      </c>
      <c r="B51" s="15" t="s">
        <v>1</v>
      </c>
      <c r="C51" s="50"/>
      <c r="D51" s="50">
        <v>326706</v>
      </c>
      <c r="E51" s="50">
        <f t="shared" si="19"/>
        <v>326706</v>
      </c>
      <c r="F51" s="50"/>
      <c r="G51" s="123">
        <v>184534</v>
      </c>
      <c r="H51" s="123">
        <v>58652</v>
      </c>
      <c r="I51" s="50">
        <f t="shared" si="18"/>
        <v>243186</v>
      </c>
      <c r="J51" s="50">
        <f t="shared" si="20"/>
        <v>243186</v>
      </c>
      <c r="K51" s="117"/>
      <c r="L51" s="129"/>
      <c r="M51" s="174">
        <v>602465</v>
      </c>
      <c r="N51" s="174">
        <v>463326</v>
      </c>
      <c r="O51" s="174">
        <v>477388</v>
      </c>
      <c r="P51" s="153">
        <f t="shared" si="21"/>
        <v>940714</v>
      </c>
      <c r="Q51" s="153"/>
    </row>
    <row r="52" spans="1:17" ht="24.75" customHeight="1" x14ac:dyDescent="0.25">
      <c r="A52" s="234"/>
      <c r="B52" s="49" t="s">
        <v>2</v>
      </c>
      <c r="C52" s="50">
        <f>367000+513063+'[5]UNDP 2013-2014 '!$R$211</f>
        <v>1197063</v>
      </c>
      <c r="D52" s="50">
        <f>221760+250000</f>
        <v>471760</v>
      </c>
      <c r="E52" s="50">
        <f t="shared" si="19"/>
        <v>1668823</v>
      </c>
      <c r="F52" s="50">
        <f>604335+249326+292214</f>
        <v>1145875</v>
      </c>
      <c r="G52" s="123">
        <v>97514</v>
      </c>
      <c r="H52" s="123">
        <f>466592+69138</f>
        <v>535730</v>
      </c>
      <c r="I52" s="50">
        <f t="shared" si="18"/>
        <v>633244</v>
      </c>
      <c r="J52" s="50">
        <f t="shared" si="20"/>
        <v>1779119</v>
      </c>
      <c r="K52" s="117"/>
      <c r="L52" s="130"/>
      <c r="M52" s="174">
        <v>658306</v>
      </c>
      <c r="N52" s="174">
        <v>2172858</v>
      </c>
      <c r="O52" s="174">
        <v>693700</v>
      </c>
      <c r="P52" s="153">
        <f t="shared" si="21"/>
        <v>2866558</v>
      </c>
      <c r="Q52" s="153"/>
    </row>
    <row r="53" spans="1:17" ht="24" customHeight="1" x14ac:dyDescent="0.25">
      <c r="A53" s="235"/>
      <c r="B53" s="15" t="s">
        <v>3</v>
      </c>
      <c r="C53" s="50">
        <f>2479417+'[5]UNEP 2013-2014 '!$P$72+100000</f>
        <v>3472017</v>
      </c>
      <c r="D53" s="50">
        <f>785104</f>
        <v>785104</v>
      </c>
      <c r="E53" s="50">
        <f t="shared" si="19"/>
        <v>4257121</v>
      </c>
      <c r="F53" s="50">
        <f>1344422+527213+959529</f>
        <v>2831164</v>
      </c>
      <c r="G53" s="123">
        <v>640853</v>
      </c>
      <c r="H53" s="123">
        <f>501763+283341</f>
        <v>785104</v>
      </c>
      <c r="I53" s="50">
        <f t="shared" si="18"/>
        <v>1425957</v>
      </c>
      <c r="J53" s="50">
        <f t="shared" si="20"/>
        <v>4257121</v>
      </c>
      <c r="K53" s="117"/>
      <c r="L53" s="130"/>
      <c r="M53" s="154"/>
      <c r="N53" s="153"/>
      <c r="O53" s="153"/>
      <c r="P53" s="153">
        <f t="shared" si="21"/>
        <v>0</v>
      </c>
      <c r="Q53" s="153"/>
    </row>
    <row r="54" spans="1:17" ht="20.25" customHeight="1" x14ac:dyDescent="0.25">
      <c r="A54" s="103" t="s">
        <v>19</v>
      </c>
      <c r="B54" s="15"/>
      <c r="C54" s="47">
        <f>SUM(C46:C53)</f>
        <v>13765975.6</v>
      </c>
      <c r="D54" s="47">
        <f>SUM(D46:D53)</f>
        <v>4517598</v>
      </c>
      <c r="E54" s="47">
        <f>SUM(E46:E53)</f>
        <v>18283573.600000001</v>
      </c>
      <c r="F54" s="47">
        <f t="shared" ref="F54:J54" si="22">SUM(F46:F53)</f>
        <v>9821778</v>
      </c>
      <c r="G54" s="126">
        <f>SUM(G46:G53)</f>
        <v>2445299</v>
      </c>
      <c r="H54" s="126">
        <f t="shared" ref="H54" si="23">SUM(H46:H53)</f>
        <v>3965397</v>
      </c>
      <c r="I54" s="47">
        <f>SUM(I46:I53)</f>
        <v>6410696</v>
      </c>
      <c r="J54" s="47">
        <f t="shared" si="22"/>
        <v>16232474</v>
      </c>
      <c r="K54" s="117">
        <f>J54/E54</f>
        <v>0.88781735754327584</v>
      </c>
      <c r="L54" s="130"/>
      <c r="M54" s="151">
        <f>SUM(M46:M53)</f>
        <v>3358701</v>
      </c>
      <c r="N54" s="151">
        <f t="shared" ref="N54:P54" si="24">SUM(N46:N53)</f>
        <v>6355985</v>
      </c>
      <c r="O54" s="151">
        <f t="shared" si="24"/>
        <v>2049973</v>
      </c>
      <c r="P54" s="151">
        <f t="shared" si="24"/>
        <v>8405958</v>
      </c>
      <c r="Q54" s="151"/>
    </row>
    <row r="55" spans="1:17" ht="18.75" customHeight="1" x14ac:dyDescent="0.25">
      <c r="A55" s="227" t="s">
        <v>13</v>
      </c>
      <c r="B55" s="228"/>
      <c r="C55" s="228"/>
      <c r="D55" s="228"/>
      <c r="E55" s="228"/>
      <c r="F55" s="228"/>
      <c r="G55" s="228"/>
      <c r="H55" s="228"/>
      <c r="I55" s="228"/>
      <c r="J55" s="228"/>
      <c r="K55" s="228"/>
      <c r="L55" s="120"/>
      <c r="M55" s="142"/>
      <c r="N55" s="142"/>
      <c r="O55" s="142"/>
      <c r="P55" s="142"/>
      <c r="Q55" s="142"/>
    </row>
    <row r="56" spans="1:17" ht="25.5" customHeight="1" x14ac:dyDescent="0.25">
      <c r="A56" s="22" t="s">
        <v>78</v>
      </c>
      <c r="B56" s="49" t="s">
        <v>3</v>
      </c>
      <c r="C56" s="50">
        <f>1228169+'[5]UNEP 2013-2014 '!$P$90</f>
        <v>2208991</v>
      </c>
      <c r="D56" s="50">
        <v>443924</v>
      </c>
      <c r="E56" s="50">
        <f>C56+D56</f>
        <v>2652915</v>
      </c>
      <c r="F56" s="50">
        <f>296792+605855+709263</f>
        <v>1611910</v>
      </c>
      <c r="G56" s="123">
        <v>597081</v>
      </c>
      <c r="H56" s="123">
        <f>54618+389305</f>
        <v>443923</v>
      </c>
      <c r="I56" s="50">
        <f>G56+H56</f>
        <v>1041004</v>
      </c>
      <c r="J56" s="50">
        <f>F56+I56</f>
        <v>2652914</v>
      </c>
      <c r="K56" s="117"/>
      <c r="L56" s="129"/>
      <c r="M56" s="167">
        <v>458471</v>
      </c>
      <c r="N56" s="167">
        <v>1463041</v>
      </c>
      <c r="O56" s="167">
        <v>416700</v>
      </c>
      <c r="P56" s="10">
        <f>SUM(N56:O56)</f>
        <v>1879741</v>
      </c>
      <c r="Q56" s="12"/>
    </row>
    <row r="57" spans="1:17" ht="22.5" customHeight="1" x14ac:dyDescent="0.25">
      <c r="A57" s="223" t="s">
        <v>79</v>
      </c>
      <c r="B57" s="49" t="s">
        <v>3</v>
      </c>
      <c r="C57" s="50">
        <f>1277633+'[5]UNEP 2013-2014 '!$P$104+663800</f>
        <v>2590603</v>
      </c>
      <c r="D57" s="50">
        <f>341822+250000</f>
        <v>591822</v>
      </c>
      <c r="E57" s="50">
        <f t="shared" ref="E57:E60" si="25">C57+D57</f>
        <v>3182425</v>
      </c>
      <c r="F57" s="50">
        <f>605415+622219+598134</f>
        <v>1825768</v>
      </c>
      <c r="G57" s="123">
        <v>764835</v>
      </c>
      <c r="H57" s="123">
        <f>283131+247407</f>
        <v>530538</v>
      </c>
      <c r="I57" s="50">
        <f>G57+H57</f>
        <v>1295373</v>
      </c>
      <c r="J57" s="50">
        <f t="shared" ref="J57:J60" si="26">F57+I57</f>
        <v>3121141</v>
      </c>
      <c r="K57" s="117"/>
      <c r="L57" s="129"/>
      <c r="M57" s="167">
        <v>538964</v>
      </c>
      <c r="N57" s="167">
        <v>1336804</v>
      </c>
      <c r="O57" s="167">
        <v>692800</v>
      </c>
      <c r="P57" s="10">
        <f t="shared" ref="P57:P61" si="27">SUM(N57:O57)</f>
        <v>2029604</v>
      </c>
      <c r="Q57" s="12"/>
    </row>
    <row r="58" spans="1:17" ht="20.25" customHeight="1" x14ac:dyDescent="0.25">
      <c r="A58" s="224"/>
      <c r="B58" s="49" t="s">
        <v>2</v>
      </c>
      <c r="C58" s="50">
        <f>139366+'[5]UNDP 2013-2014 '!$R$229</f>
        <v>213101.6</v>
      </c>
      <c r="D58" s="50"/>
      <c r="E58" s="50">
        <f t="shared" si="25"/>
        <v>213101.6</v>
      </c>
      <c r="F58" s="50">
        <f>26450+61995+69295</f>
        <v>157740</v>
      </c>
      <c r="G58" s="123">
        <v>69020</v>
      </c>
      <c r="H58" s="123">
        <v>37319</v>
      </c>
      <c r="I58" s="50">
        <f>G58+H58</f>
        <v>106339</v>
      </c>
      <c r="J58" s="50">
        <f t="shared" si="26"/>
        <v>264079</v>
      </c>
      <c r="K58" s="117"/>
      <c r="L58" s="129"/>
      <c r="M58" s="167">
        <v>141740</v>
      </c>
      <c r="N58" s="167">
        <v>16000</v>
      </c>
      <c r="O58" s="167"/>
      <c r="P58" s="10">
        <f t="shared" si="27"/>
        <v>16000</v>
      </c>
      <c r="Q58" s="12"/>
    </row>
    <row r="59" spans="1:17" ht="23.25" customHeight="1" x14ac:dyDescent="0.25">
      <c r="A59" s="225" t="s">
        <v>80</v>
      </c>
      <c r="B59" s="49" t="s">
        <v>2</v>
      </c>
      <c r="C59" s="50">
        <v>1675000</v>
      </c>
      <c r="D59" s="50">
        <f>77878+300000</f>
        <v>377878</v>
      </c>
      <c r="E59" s="50">
        <f t="shared" si="25"/>
        <v>2052878</v>
      </c>
      <c r="F59" s="50">
        <v>657457</v>
      </c>
      <c r="G59" s="123">
        <v>314779</v>
      </c>
      <c r="H59" s="123">
        <v>1080642</v>
      </c>
      <c r="I59" s="50">
        <f>G59+H59</f>
        <v>1395421</v>
      </c>
      <c r="J59" s="50">
        <f t="shared" si="26"/>
        <v>2052878</v>
      </c>
      <c r="K59" s="117"/>
      <c r="L59" s="130"/>
      <c r="M59" s="167">
        <v>657457</v>
      </c>
      <c r="N59" s="167">
        <v>1383670</v>
      </c>
      <c r="O59" s="167"/>
      <c r="P59" s="10">
        <f t="shared" si="27"/>
        <v>1383670</v>
      </c>
      <c r="Q59" s="12"/>
    </row>
    <row r="60" spans="1:17" ht="22.5" customHeight="1" x14ac:dyDescent="0.25">
      <c r="A60" s="226"/>
      <c r="B60" s="49" t="s">
        <v>3</v>
      </c>
      <c r="C60" s="50">
        <f>1979906+'[5]UNEP 2013-2014 '!$P$133</f>
        <v>2974906</v>
      </c>
      <c r="D60" s="50">
        <f>422576+250000</f>
        <v>672576</v>
      </c>
      <c r="E60" s="50">
        <f t="shared" si="25"/>
        <v>3647482</v>
      </c>
      <c r="F60" s="50">
        <f>812923+617477+372413</f>
        <v>1802813</v>
      </c>
      <c r="G60" s="123">
        <v>1073226</v>
      </c>
      <c r="H60" s="123">
        <f>331085+440359</f>
        <v>771444</v>
      </c>
      <c r="I60" s="50">
        <f>G60+H60</f>
        <v>1844670</v>
      </c>
      <c r="J60" s="50">
        <f t="shared" si="26"/>
        <v>3647483</v>
      </c>
      <c r="K60" s="117"/>
      <c r="L60" s="130"/>
      <c r="M60" s="167">
        <v>495607</v>
      </c>
      <c r="N60" s="167">
        <v>1657206</v>
      </c>
      <c r="O60" s="167">
        <v>66585</v>
      </c>
      <c r="P60" s="10">
        <f t="shared" si="27"/>
        <v>1723791</v>
      </c>
      <c r="Q60" s="12"/>
    </row>
    <row r="61" spans="1:17" ht="22.5" customHeight="1" x14ac:dyDescent="0.25">
      <c r="A61" s="103" t="s">
        <v>18</v>
      </c>
      <c r="B61" s="55"/>
      <c r="C61" s="47">
        <f>SUM(C56:C60)</f>
        <v>9662601.5999999996</v>
      </c>
      <c r="D61" s="47">
        <f>SUM(D56:D60)</f>
        <v>2086200</v>
      </c>
      <c r="E61" s="47">
        <f>SUM(E56:E60)</f>
        <v>11748801.6</v>
      </c>
      <c r="F61" s="47">
        <f t="shared" ref="F61:J61" si="28">SUM(F56:F60)</f>
        <v>6055688</v>
      </c>
      <c r="G61" s="126">
        <f>SUM(G56:G60)</f>
        <v>2818941</v>
      </c>
      <c r="H61" s="126">
        <f t="shared" ref="H61" si="29">SUM(H56:H60)</f>
        <v>2863866</v>
      </c>
      <c r="I61" s="47">
        <f>SUM(I56:I60)</f>
        <v>5682807</v>
      </c>
      <c r="J61" s="47">
        <f t="shared" si="28"/>
        <v>11738495</v>
      </c>
      <c r="K61" s="117">
        <f>J61/E61</f>
        <v>0.9991227530814718</v>
      </c>
      <c r="L61" s="130"/>
      <c r="M61" s="148">
        <f>SUM(M56:M60)</f>
        <v>2292239</v>
      </c>
      <c r="N61" s="148">
        <f>SUM(N56:N60)</f>
        <v>5856721</v>
      </c>
      <c r="O61" s="148">
        <f>SUM(O56:O60)</f>
        <v>1176085</v>
      </c>
      <c r="P61" s="155">
        <f t="shared" si="27"/>
        <v>7032806</v>
      </c>
      <c r="Q61" s="12"/>
    </row>
    <row r="62" spans="1:17" ht="31.5" customHeight="1" x14ac:dyDescent="0.25">
      <c r="A62" s="227" t="s">
        <v>14</v>
      </c>
      <c r="B62" s="228"/>
      <c r="C62" s="228"/>
      <c r="D62" s="228"/>
      <c r="E62" s="228"/>
      <c r="F62" s="228"/>
      <c r="G62" s="228"/>
      <c r="H62" s="228"/>
      <c r="I62" s="228"/>
      <c r="J62" s="228"/>
      <c r="K62" s="228"/>
      <c r="L62" s="120"/>
      <c r="M62" s="142"/>
      <c r="N62" s="142"/>
      <c r="O62" s="142"/>
      <c r="P62" s="142"/>
      <c r="Q62" s="142"/>
    </row>
    <row r="63" spans="1:17" ht="23.25" customHeight="1" x14ac:dyDescent="0.25">
      <c r="A63" s="229" t="s">
        <v>81</v>
      </c>
      <c r="B63" s="49" t="s">
        <v>23</v>
      </c>
      <c r="C63" s="50">
        <f>206914+'[5]Secretariat 2013-2014'!$N$6</f>
        <v>218026.4835</v>
      </c>
      <c r="D63" s="50"/>
      <c r="E63" s="50">
        <f>C63+D63</f>
        <v>218026.4835</v>
      </c>
      <c r="F63" s="50">
        <f>219481+11112</f>
        <v>230593</v>
      </c>
      <c r="G63" s="127"/>
      <c r="H63" s="123"/>
      <c r="I63" s="50"/>
      <c r="J63" s="50">
        <f>F63+I63</f>
        <v>230593</v>
      </c>
      <c r="K63" s="117"/>
      <c r="L63" s="129"/>
      <c r="M63" s="167">
        <v>212283</v>
      </c>
      <c r="N63" s="167">
        <v>7198</v>
      </c>
      <c r="O63" s="175"/>
      <c r="P63" s="10">
        <f>SUM(N63:O63)</f>
        <v>7198</v>
      </c>
      <c r="Q63" s="147">
        <v>11112</v>
      </c>
    </row>
    <row r="64" spans="1:17" ht="33.75" customHeight="1" x14ac:dyDescent="0.25">
      <c r="A64" s="229"/>
      <c r="B64" s="15" t="s">
        <v>24</v>
      </c>
      <c r="C64" s="50">
        <f>185504+'[5]UNDP 2013-2014 '!$R$250+'[5]Secretariat 2013-2014'!$N$7+'[5]Secretariat 2013-2014'!$N$8+300000</f>
        <v>620704</v>
      </c>
      <c r="D64" s="50">
        <f>3500+181539.6</f>
        <v>185039.6</v>
      </c>
      <c r="E64" s="50">
        <f t="shared" ref="E64:E69" si="30">C64+D64</f>
        <v>805743.6</v>
      </c>
      <c r="F64" s="50">
        <f>9990+33240+66695</f>
        <v>109925</v>
      </c>
      <c r="G64" s="123">
        <f>19741+54337.98</f>
        <v>74078.98000000001</v>
      </c>
      <c r="H64" s="123"/>
      <c r="I64" s="50">
        <f t="shared" ref="I64:I69" si="31">G64+H64</f>
        <v>74078.98000000001</v>
      </c>
      <c r="J64" s="50">
        <f t="shared" ref="J64:J69" si="32">F64+I64</f>
        <v>184003.98</v>
      </c>
      <c r="K64" s="117"/>
      <c r="L64" s="129"/>
      <c r="M64" s="167">
        <v>135104</v>
      </c>
      <c r="N64" s="167"/>
      <c r="O64" s="175"/>
      <c r="P64" s="10">
        <f t="shared" ref="P64:P70" si="33">SUM(N64:O64)</f>
        <v>0</v>
      </c>
      <c r="Q64" s="147"/>
    </row>
    <row r="65" spans="1:17" ht="32.25" customHeight="1" x14ac:dyDescent="0.25">
      <c r="A65" s="229"/>
      <c r="B65" s="15" t="s">
        <v>25</v>
      </c>
      <c r="C65" s="50">
        <f>25000+66870+20000+317264+'[5]UNEP 2013-2014 '!$P$153+'[5]Secretariat 2013-2014'!$N$9</f>
        <v>487134</v>
      </c>
      <c r="D65" s="50">
        <f>50000+134435.4</f>
        <v>184435.4</v>
      </c>
      <c r="E65" s="50">
        <f t="shared" si="30"/>
        <v>671569.4</v>
      </c>
      <c r="F65" s="50">
        <f>269491+27307+117766</f>
        <v>414564</v>
      </c>
      <c r="G65" s="123">
        <f>Sheet3!P4</f>
        <v>63602.068641746751</v>
      </c>
      <c r="H65" s="123">
        <v>144431</v>
      </c>
      <c r="I65" s="50">
        <f t="shared" si="31"/>
        <v>208033.06864174677</v>
      </c>
      <c r="J65" s="50">
        <f t="shared" si="32"/>
        <v>622597.06864174677</v>
      </c>
      <c r="K65" s="117"/>
      <c r="L65" s="129"/>
      <c r="M65" s="167">
        <v>96538</v>
      </c>
      <c r="N65" s="167">
        <v>305128</v>
      </c>
      <c r="O65" s="175"/>
      <c r="P65" s="10">
        <f t="shared" si="33"/>
        <v>305128</v>
      </c>
      <c r="Q65" s="147">
        <v>12897</v>
      </c>
    </row>
    <row r="66" spans="1:17" ht="29.25" customHeight="1" x14ac:dyDescent="0.25">
      <c r="A66" s="230" t="s">
        <v>82</v>
      </c>
      <c r="B66" s="49" t="s">
        <v>23</v>
      </c>
      <c r="C66" s="50">
        <f>487309+'[5]FAO 2013-2014 '!$P$157+'[5]Secretariat 2013-2014'!$N$25+'[5]Secretariat 2013-2014'!$N$26+175674</f>
        <v>949911.48349999997</v>
      </c>
      <c r="D66" s="50">
        <v>235531</v>
      </c>
      <c r="E66" s="50">
        <f t="shared" si="30"/>
        <v>1185442.4835000001</v>
      </c>
      <c r="F66" s="50">
        <f>213866+288017+307671</f>
        <v>809554</v>
      </c>
      <c r="G66" s="123">
        <v>246677</v>
      </c>
      <c r="H66" s="123">
        <v>23198</v>
      </c>
      <c r="I66" s="50">
        <f t="shared" si="31"/>
        <v>269875</v>
      </c>
      <c r="J66" s="50">
        <f t="shared" si="32"/>
        <v>1079429</v>
      </c>
      <c r="K66" s="117"/>
      <c r="L66" s="129"/>
      <c r="M66" s="167">
        <v>653038</v>
      </c>
      <c r="N66" s="167">
        <v>140911</v>
      </c>
      <c r="O66" s="175"/>
      <c r="P66" s="10">
        <f t="shared" si="33"/>
        <v>140911</v>
      </c>
      <c r="Q66" s="147">
        <v>15612</v>
      </c>
    </row>
    <row r="67" spans="1:17" ht="30.75" customHeight="1" x14ac:dyDescent="0.25">
      <c r="A67" s="231"/>
      <c r="B67" s="49" t="s">
        <v>24</v>
      </c>
      <c r="C67" s="50">
        <f>136211+'[5]UNDP 2013-2014 '!$R$264+'[5]Secretariat 2013-2014'!$N$23+'[5]Secretariat 2013-2014'!$N$31+1600000</f>
        <v>1799611</v>
      </c>
      <c r="D67" s="50">
        <f>43500+35250</f>
        <v>78750</v>
      </c>
      <c r="E67" s="50">
        <f t="shared" si="30"/>
        <v>1878361</v>
      </c>
      <c r="F67" s="50">
        <f>40416+24653+141120</f>
        <v>206189</v>
      </c>
      <c r="G67" s="123">
        <v>335375</v>
      </c>
      <c r="H67" s="123">
        <v>349523</v>
      </c>
      <c r="I67" s="50">
        <f t="shared" si="31"/>
        <v>684898</v>
      </c>
      <c r="J67" s="50">
        <f t="shared" si="32"/>
        <v>891087</v>
      </c>
      <c r="K67" s="117"/>
      <c r="L67" s="129"/>
      <c r="M67" s="167">
        <v>869058</v>
      </c>
      <c r="N67" s="167"/>
      <c r="O67" s="175"/>
      <c r="P67" s="10">
        <f t="shared" si="33"/>
        <v>0</v>
      </c>
      <c r="Q67" s="147"/>
    </row>
    <row r="68" spans="1:17" ht="30" customHeight="1" x14ac:dyDescent="0.25">
      <c r="A68" s="232"/>
      <c r="B68" s="49" t="s">
        <v>26</v>
      </c>
      <c r="C68" s="50">
        <f>50000+404029+'[5]Secretariat 2013-2014'!$N$21+'[5]Secretariat 2013-2014'!$N$22+'[5]Secretariat 2013-2014'!$N$27+'[5]Secretariat 2013-2014'!$N$28+'[5]Secretariat 2013-2014'!$N$29+'[5]Secretariat 2013-2014'!$N$30</f>
        <v>860914.71428571432</v>
      </c>
      <c r="D68" s="50">
        <f>50000+332305</f>
        <v>382305</v>
      </c>
      <c r="E68" s="50">
        <f t="shared" si="30"/>
        <v>1243219.7142857143</v>
      </c>
      <c r="F68" s="50">
        <f>44589+412984+211493</f>
        <v>669066</v>
      </c>
      <c r="G68" s="123">
        <f>Sheet3!P5</f>
        <v>168220.57603058225</v>
      </c>
      <c r="H68" s="123"/>
      <c r="I68" s="50">
        <f t="shared" si="31"/>
        <v>168220.57603058225</v>
      </c>
      <c r="J68" s="50">
        <f t="shared" si="32"/>
        <v>837286.57603058219</v>
      </c>
      <c r="K68" s="117"/>
      <c r="L68" s="129"/>
      <c r="M68" s="167">
        <v>50000</v>
      </c>
      <c r="N68" s="167">
        <v>7189</v>
      </c>
      <c r="O68" s="175"/>
      <c r="P68" s="10">
        <f t="shared" si="33"/>
        <v>7189</v>
      </c>
      <c r="Q68" s="147">
        <v>611877</v>
      </c>
    </row>
    <row r="69" spans="1:17" ht="21.75" customHeight="1" x14ac:dyDescent="0.25">
      <c r="A69" s="104" t="s">
        <v>83</v>
      </c>
      <c r="B69" s="49" t="s">
        <v>3</v>
      </c>
      <c r="C69" s="50">
        <v>1100000</v>
      </c>
      <c r="D69" s="50">
        <v>0</v>
      </c>
      <c r="E69" s="50">
        <f t="shared" si="30"/>
        <v>1100000</v>
      </c>
      <c r="F69" s="50">
        <v>616473</v>
      </c>
      <c r="G69" s="123">
        <v>26033</v>
      </c>
      <c r="H69" s="123">
        <f>100000+357494</f>
        <v>457494</v>
      </c>
      <c r="I69" s="50">
        <f t="shared" si="31"/>
        <v>483527</v>
      </c>
      <c r="J69" s="50">
        <f t="shared" si="32"/>
        <v>1100000</v>
      </c>
      <c r="K69" s="117"/>
      <c r="L69" s="129"/>
      <c r="M69" s="167">
        <v>202222</v>
      </c>
      <c r="N69" s="167">
        <v>722335</v>
      </c>
      <c r="O69" s="175"/>
      <c r="P69" s="10">
        <f t="shared" si="33"/>
        <v>722335</v>
      </c>
      <c r="Q69" s="147"/>
    </row>
    <row r="70" spans="1:17" ht="24" customHeight="1" x14ac:dyDescent="0.25">
      <c r="A70" s="22" t="s">
        <v>17</v>
      </c>
      <c r="B70" s="49"/>
      <c r="C70" s="47">
        <f>SUM(C63:C69)</f>
        <v>6036301.6812857147</v>
      </c>
      <c r="D70" s="47">
        <f>SUM(D63:D69)</f>
        <v>1066061</v>
      </c>
      <c r="E70" s="47">
        <f>SUM(E63:E69)</f>
        <v>7102362.6812857147</v>
      </c>
      <c r="F70" s="47">
        <f t="shared" ref="F70:J70" si="34">SUM(F63:F69)</f>
        <v>3056364</v>
      </c>
      <c r="G70" s="126">
        <f>SUM(G63:G69)</f>
        <v>913986.62467232905</v>
      </c>
      <c r="H70" s="126">
        <f t="shared" ref="H70:I70" si="35">SUM(H63:H69)</f>
        <v>974646</v>
      </c>
      <c r="I70" s="47">
        <f t="shared" si="35"/>
        <v>1888632.6246723291</v>
      </c>
      <c r="J70" s="47">
        <f t="shared" si="34"/>
        <v>4944996.6246723291</v>
      </c>
      <c r="K70" s="117">
        <f>J70/E70</f>
        <v>0.69624670642377762</v>
      </c>
      <c r="L70" s="129"/>
      <c r="M70" s="177">
        <f>SUM(M63:M69)</f>
        <v>2218243</v>
      </c>
      <c r="N70" s="177">
        <f>SUM(N63:N69)</f>
        <v>1182761</v>
      </c>
      <c r="O70" s="178"/>
      <c r="P70" s="155">
        <f t="shared" si="33"/>
        <v>1182761</v>
      </c>
      <c r="Q70" s="148">
        <f>SUM(Q63:Q69)</f>
        <v>651498</v>
      </c>
    </row>
    <row r="71" spans="1:17" ht="18.75" customHeight="1" x14ac:dyDescent="0.25">
      <c r="A71" s="227" t="s">
        <v>4</v>
      </c>
      <c r="B71" s="228"/>
      <c r="C71" s="228"/>
      <c r="D71" s="228"/>
      <c r="E71" s="228"/>
      <c r="F71" s="228"/>
      <c r="G71" s="228"/>
      <c r="H71" s="228"/>
      <c r="I71" s="228"/>
      <c r="J71" s="228"/>
      <c r="K71" s="228"/>
      <c r="L71" s="120"/>
      <c r="M71" s="142"/>
      <c r="N71" s="142"/>
      <c r="O71" s="142"/>
      <c r="P71" s="142"/>
      <c r="Q71" s="142"/>
    </row>
    <row r="72" spans="1:17" ht="27" customHeight="1" x14ac:dyDescent="0.25">
      <c r="A72" s="56" t="s">
        <v>84</v>
      </c>
      <c r="B72" s="57" t="s">
        <v>7</v>
      </c>
      <c r="C72" s="34">
        <f>2158728+617290</f>
        <v>2776018</v>
      </c>
      <c r="D72" s="34">
        <v>532517</v>
      </c>
      <c r="E72" s="34">
        <f>C72+D72</f>
        <v>3308535</v>
      </c>
      <c r="F72" s="33">
        <f>564230+557315+1341454</f>
        <v>2462999</v>
      </c>
      <c r="G72" s="128">
        <f>Sheet3!C13</f>
        <v>262613.46695898077</v>
      </c>
      <c r="H72" s="128">
        <f>Sheet3!D13+175239</f>
        <v>178718.22</v>
      </c>
      <c r="I72" s="34">
        <f t="shared" ref="I72:I78" si="36">G72+H72</f>
        <v>441331.68695898075</v>
      </c>
      <c r="J72" s="34">
        <f>F72+I72</f>
        <v>2904330.6869589807</v>
      </c>
      <c r="K72" s="117"/>
      <c r="L72" s="129"/>
      <c r="M72" s="12"/>
      <c r="N72" s="12"/>
      <c r="O72" s="12"/>
      <c r="P72" s="12"/>
      <c r="Q72" s="167">
        <v>2631308</v>
      </c>
    </row>
    <row r="73" spans="1:17" ht="23.25" customHeight="1" x14ac:dyDescent="0.25">
      <c r="A73" s="105" t="s">
        <v>85</v>
      </c>
      <c r="B73" s="57" t="s">
        <v>7</v>
      </c>
      <c r="C73" s="34">
        <f>1295237</f>
        <v>1295237</v>
      </c>
      <c r="D73" s="34">
        <v>571971</v>
      </c>
      <c r="E73" s="34">
        <f t="shared" ref="E73:E78" si="37">C73+D73</f>
        <v>1867208</v>
      </c>
      <c r="F73" s="33">
        <f>379629+531982+304876</f>
        <v>1216487</v>
      </c>
      <c r="G73" s="128">
        <f>Sheet3!C14</f>
        <v>248023.8299057041</v>
      </c>
      <c r="H73" s="128">
        <f>Sheet3!D14+165504</f>
        <v>168789.93</v>
      </c>
      <c r="I73" s="34">
        <f t="shared" si="36"/>
        <v>416813.75990570406</v>
      </c>
      <c r="J73" s="34">
        <f t="shared" ref="J73:J78" si="38">F73+I73</f>
        <v>1633300.7599057041</v>
      </c>
      <c r="K73" s="117"/>
      <c r="L73" s="129"/>
      <c r="M73" s="12"/>
      <c r="N73" s="12"/>
      <c r="O73" s="12"/>
      <c r="P73" s="12"/>
      <c r="Q73" s="167">
        <v>1216487</v>
      </c>
    </row>
    <row r="74" spans="1:17" ht="24" customHeight="1" x14ac:dyDescent="0.25">
      <c r="A74" s="105" t="s">
        <v>86</v>
      </c>
      <c r="B74" s="57" t="s">
        <v>7</v>
      </c>
      <c r="C74" s="34">
        <v>1079364</v>
      </c>
      <c r="D74" s="34">
        <v>574583</v>
      </c>
      <c r="E74" s="34">
        <f t="shared" si="37"/>
        <v>1653947</v>
      </c>
      <c r="F74" s="34">
        <f>355638+421351+152438</f>
        <v>929427</v>
      </c>
      <c r="G74" s="128">
        <f>Sheet3!C15</f>
        <v>291792.74106553424</v>
      </c>
      <c r="H74" s="128">
        <f>Sheet3!D15+194710</f>
        <v>198575.8</v>
      </c>
      <c r="I74" s="34">
        <f t="shared" si="36"/>
        <v>490368.54106553423</v>
      </c>
      <c r="J74" s="34">
        <f t="shared" si="38"/>
        <v>1419795.5410655341</v>
      </c>
      <c r="K74" s="117"/>
      <c r="L74" s="129"/>
      <c r="M74" s="12"/>
      <c r="N74" s="12"/>
      <c r="O74" s="12"/>
      <c r="P74" s="12"/>
      <c r="Q74" s="167">
        <v>929427</v>
      </c>
    </row>
    <row r="75" spans="1:17" ht="23.25" customHeight="1" x14ac:dyDescent="0.25">
      <c r="A75" s="105" t="s">
        <v>87</v>
      </c>
      <c r="B75" s="57" t="s">
        <v>7</v>
      </c>
      <c r="C75" s="34">
        <f>1798940+250000</f>
        <v>2048940</v>
      </c>
      <c r="D75" s="34">
        <v>875010</v>
      </c>
      <c r="E75" s="34">
        <f t="shared" si="37"/>
        <v>2923950</v>
      </c>
      <c r="F75" s="34">
        <f>739160+607980+548777</f>
        <v>1895917</v>
      </c>
      <c r="G75" s="128">
        <f>Sheet3!C16</f>
        <v>320972.01517208765</v>
      </c>
      <c r="H75" s="128">
        <f>Sheet3!D16+214181</f>
        <v>218433.38</v>
      </c>
      <c r="I75" s="34">
        <f t="shared" si="36"/>
        <v>539405.39517208771</v>
      </c>
      <c r="J75" s="34">
        <f t="shared" si="38"/>
        <v>2435322.3951720875</v>
      </c>
      <c r="K75" s="117"/>
      <c r="L75" s="129"/>
      <c r="M75" s="12"/>
      <c r="N75" s="12"/>
      <c r="O75" s="12"/>
      <c r="P75" s="12"/>
      <c r="Q75" s="167">
        <v>1895917</v>
      </c>
    </row>
    <row r="76" spans="1:17" ht="24.75" customHeight="1" x14ac:dyDescent="0.25">
      <c r="A76" s="105" t="s">
        <v>88</v>
      </c>
      <c r="B76" s="57" t="s">
        <v>7</v>
      </c>
      <c r="C76" s="34">
        <f>647618+912489</f>
        <v>1560107</v>
      </c>
      <c r="D76" s="34">
        <v>320407</v>
      </c>
      <c r="E76" s="34">
        <f t="shared" si="37"/>
        <v>1880514</v>
      </c>
      <c r="F76" s="34">
        <f>126662+152438</f>
        <v>279100</v>
      </c>
      <c r="G76" s="128">
        <f>411633+Sheet3!C17</f>
        <v>557529.37053276715</v>
      </c>
      <c r="H76" s="128">
        <f>Sheet3!D17+174669</f>
        <v>176601.9</v>
      </c>
      <c r="I76" s="34">
        <f t="shared" si="36"/>
        <v>734131.27053276717</v>
      </c>
      <c r="J76" s="34">
        <f t="shared" si="38"/>
        <v>1013231.2705327672</v>
      </c>
      <c r="K76" s="117"/>
      <c r="L76" s="129"/>
      <c r="M76" s="12"/>
      <c r="N76" s="12"/>
      <c r="O76" s="12"/>
      <c r="P76" s="12"/>
      <c r="Q76" s="167">
        <v>1024862</v>
      </c>
    </row>
    <row r="77" spans="1:17" ht="23.25" customHeight="1" x14ac:dyDescent="0.25">
      <c r="A77" s="105" t="s">
        <v>89</v>
      </c>
      <c r="B77" s="57" t="s">
        <v>7</v>
      </c>
      <c r="C77" s="34">
        <f>215873+72961</f>
        <v>288834</v>
      </c>
      <c r="D77" s="34">
        <v>418858</v>
      </c>
      <c r="E77" s="34">
        <f t="shared" si="37"/>
        <v>707692</v>
      </c>
      <c r="F77" s="34">
        <v>2346</v>
      </c>
      <c r="G77" s="128">
        <f>Sheet3!C18</f>
        <v>189665.28169259723</v>
      </c>
      <c r="H77" s="128">
        <f>Sheet3!D18+126562</f>
        <v>129074.77</v>
      </c>
      <c r="I77" s="34">
        <f t="shared" si="36"/>
        <v>318740.05169259722</v>
      </c>
      <c r="J77" s="34">
        <f t="shared" si="38"/>
        <v>321086.05169259722</v>
      </c>
      <c r="K77" s="117"/>
      <c r="L77" s="129"/>
      <c r="M77" s="12"/>
      <c r="N77" s="12"/>
      <c r="O77" s="12"/>
      <c r="P77" s="12"/>
      <c r="Q77" s="167">
        <v>279100</v>
      </c>
    </row>
    <row r="78" spans="1:17" ht="20.25" customHeight="1" x14ac:dyDescent="0.25">
      <c r="A78" s="105" t="s">
        <v>90</v>
      </c>
      <c r="B78" s="57" t="s">
        <v>7</v>
      </c>
      <c r="C78" s="34">
        <v>1200000</v>
      </c>
      <c r="D78" s="34">
        <v>0</v>
      </c>
      <c r="E78" s="34">
        <f t="shared" si="37"/>
        <v>1200000</v>
      </c>
      <c r="F78" s="34">
        <v>0</v>
      </c>
      <c r="G78" s="128">
        <v>267864</v>
      </c>
      <c r="H78" s="128">
        <v>932136</v>
      </c>
      <c r="I78" s="34">
        <f t="shared" si="36"/>
        <v>1200000</v>
      </c>
      <c r="J78" s="34">
        <f t="shared" si="38"/>
        <v>1200000</v>
      </c>
      <c r="K78" s="117"/>
      <c r="L78" s="129"/>
      <c r="M78" s="12"/>
      <c r="N78" s="12"/>
      <c r="O78" s="12"/>
      <c r="P78" s="12"/>
      <c r="Q78" s="167">
        <v>1283836</v>
      </c>
    </row>
    <row r="79" spans="1:17" ht="19.5" customHeight="1" x14ac:dyDescent="0.25">
      <c r="A79" s="19" t="s">
        <v>29</v>
      </c>
      <c r="B79" s="58"/>
      <c r="C79" s="47">
        <f>SUM(C72:C78)</f>
        <v>10248500</v>
      </c>
      <c r="D79" s="47">
        <f>SUM(D72:D78)</f>
        <v>3293346</v>
      </c>
      <c r="E79" s="47">
        <f>SUM(E72:E78)</f>
        <v>13541846</v>
      </c>
      <c r="F79" s="47">
        <f t="shared" ref="F79:J79" si="39">SUM(F72:F78)</f>
        <v>6786276</v>
      </c>
      <c r="G79" s="126">
        <f>SUM(G72:G78)</f>
        <v>2138460.705327671</v>
      </c>
      <c r="H79" s="126">
        <f t="shared" si="39"/>
        <v>2002330</v>
      </c>
      <c r="I79" s="47">
        <f t="shared" si="39"/>
        <v>4140790.705327671</v>
      </c>
      <c r="J79" s="47">
        <f t="shared" si="39"/>
        <v>10927066.705327671</v>
      </c>
      <c r="K79" s="117">
        <f>J79/E79</f>
        <v>0.80691116302221066</v>
      </c>
      <c r="L79" s="129"/>
      <c r="M79" s="12"/>
      <c r="N79" s="12"/>
      <c r="O79" s="12"/>
      <c r="P79" s="12"/>
      <c r="Q79" s="147">
        <f>SUM(Q72:Q78)</f>
        <v>9260937</v>
      </c>
    </row>
    <row r="80" spans="1:17" ht="21.75" customHeight="1" x14ac:dyDescent="0.25">
      <c r="A80" s="233" t="s">
        <v>8</v>
      </c>
      <c r="B80" s="55" t="s">
        <v>1</v>
      </c>
      <c r="C80" s="51">
        <f>C14+C15+C21+C25+C28+C30+C34+C48+C63+C66+3651850</f>
        <v>31617354.967</v>
      </c>
      <c r="D80" s="51">
        <f>D14+D15+D18+D21+D25+D28+D30+D34+D48+D51+D63+D66+[7]Secretariat!$H$548</f>
        <v>11314608.6</v>
      </c>
      <c r="E80" s="51">
        <f>C80+D80</f>
        <v>42931963.567000002</v>
      </c>
      <c r="F80" s="51">
        <f>7477010+6223809+8945353</f>
        <v>22646172</v>
      </c>
      <c r="G80" s="133">
        <f>G14+G15+G18+G21+G25+G28+G30+G34+G48+G51+G63+G66+506482+411633+267864</f>
        <v>7427306</v>
      </c>
      <c r="H80" s="133">
        <f>H15+H18+H14+H21+H25+H28+H30+H34+H48+H51+H63+H66+932136+96643</f>
        <v>8044176</v>
      </c>
      <c r="I80" s="47">
        <f>H80+G80</f>
        <v>15471482</v>
      </c>
      <c r="J80" s="48">
        <f>F80+I80</f>
        <v>38117654</v>
      </c>
      <c r="K80" s="117">
        <f>J80/E80</f>
        <v>0.88786188268592126</v>
      </c>
      <c r="L80" s="131"/>
      <c r="M80" s="10">
        <v>6830273</v>
      </c>
      <c r="N80" s="12">
        <v>11362674</v>
      </c>
      <c r="O80" s="12">
        <v>6595886</v>
      </c>
      <c r="P80" s="12">
        <f>SUM(N80:O80)</f>
        <v>17958560</v>
      </c>
      <c r="Q80" s="147">
        <v>3146955</v>
      </c>
    </row>
    <row r="81" spans="1:17" ht="21" customHeight="1" x14ac:dyDescent="0.25">
      <c r="A81" s="234"/>
      <c r="B81" s="55" t="s">
        <v>2</v>
      </c>
      <c r="C81" s="51">
        <f>C16+C22+C23+C27+C29+C31+C35+C38+C39+C40+C41+C46+C49+C52+C58+C64+C67+C43+C59+2304910</f>
        <v>34220102.400000006</v>
      </c>
      <c r="D81" s="51">
        <f>D16+D22+D23+D24+D27+D29+D31+D35+D38+D39+D40+D41+D43+D46+D49+D52+D58+D59+D64+D67+[7]Secretariat!$I$555</f>
        <v>10170699</v>
      </c>
      <c r="E81" s="51">
        <f t="shared" ref="E81:E82" si="40">C81+D81</f>
        <v>44390801.400000006</v>
      </c>
      <c r="F81" s="51">
        <f>4817235+6354018+9408291</f>
        <v>20579544</v>
      </c>
      <c r="G81" s="133">
        <f>G16+G22+G23+G24+G27+G29+G31+G35+G38+G39+G40+G41+G43+G46+G49+G52+G58+G59+G64+G67+347379</f>
        <v>4897068.9800000004</v>
      </c>
      <c r="H81" s="133">
        <f>H16+H22+H23+H24+H27+H29+H31+H35+H38+H39+H40+H41+H43+H46+H49+H52+H58+H59+H64+H67+351864</f>
        <v>11918904</v>
      </c>
      <c r="I81" s="48">
        <f>G81+H81</f>
        <v>16815972.98</v>
      </c>
      <c r="J81" s="48">
        <f t="shared" ref="J81:J82" si="41">F81+I81</f>
        <v>37395516.980000004</v>
      </c>
      <c r="K81" s="117">
        <f>J81/E81</f>
        <v>0.84241590150701806</v>
      </c>
      <c r="L81" s="131"/>
      <c r="M81" s="10">
        <v>9885872.5700000003</v>
      </c>
      <c r="N81" s="10">
        <v>12535540</v>
      </c>
      <c r="O81" s="12">
        <v>5265998</v>
      </c>
      <c r="P81" s="12">
        <f t="shared" ref="P81:P82" si="42">SUM(N81:O81)</f>
        <v>17801538</v>
      </c>
      <c r="Q81" s="147">
        <v>2501213</v>
      </c>
    </row>
    <row r="82" spans="1:17" ht="21" customHeight="1" x14ac:dyDescent="0.25">
      <c r="A82" s="235"/>
      <c r="B82" s="55" t="s">
        <v>3</v>
      </c>
      <c r="C82" s="51">
        <f>C17+C42+C47+C50+C53+C56+C57+C60+C65+C68+C26+C69+4291742</f>
        <v>25864683.714285713</v>
      </c>
      <c r="D82" s="51">
        <f>D42+D47+D50+D53+D56+D57+D60+D65+D68+[7]Secretariat!$J$555</f>
        <v>7849219</v>
      </c>
      <c r="E82" s="51">
        <f t="shared" si="40"/>
        <v>33713902.714285716</v>
      </c>
      <c r="F82" s="47">
        <f>5247966+5364664+8012893</f>
        <v>18625523</v>
      </c>
      <c r="G82" s="134">
        <f>G17+G26+G42+G47+G50+G53+G56+G57+G60+G65+G68+G69+Sheet3!C8</f>
        <v>6436205.3499999996</v>
      </c>
      <c r="H82" s="134">
        <f>H17+H26+H42+H47+H50+H53+H56+H57+H60+H65+H68+H69+388244</f>
        <v>6416281</v>
      </c>
      <c r="I82" s="48">
        <f>G82+H82</f>
        <v>12852486.35</v>
      </c>
      <c r="J82" s="48">
        <f t="shared" si="41"/>
        <v>31478009.350000001</v>
      </c>
      <c r="K82" s="117">
        <f>J82/E82</f>
        <v>0.93368037562325013</v>
      </c>
      <c r="L82" s="131"/>
      <c r="M82" s="10">
        <v>4108149</v>
      </c>
      <c r="N82" s="12">
        <v>12397630</v>
      </c>
      <c r="O82" s="12">
        <v>2193685</v>
      </c>
      <c r="P82" s="12">
        <f t="shared" si="42"/>
        <v>14591315</v>
      </c>
      <c r="Q82" s="147">
        <v>4264265</v>
      </c>
    </row>
    <row r="83" spans="1:17" ht="19.5" customHeight="1" x14ac:dyDescent="0.25">
      <c r="A83" s="145">
        <v>0</v>
      </c>
      <c r="B83" s="15"/>
      <c r="C83" s="18">
        <f>(C80+C81+C82)*0.07</f>
        <v>6419149.8756900011</v>
      </c>
      <c r="D83" s="18">
        <f>(D80+D81+D82)*0.07</f>
        <v>2053416.8620000002</v>
      </c>
      <c r="E83" s="18">
        <f>(E80+E81+E82)*0.07</f>
        <v>8472566.7376900017</v>
      </c>
      <c r="F83" s="18">
        <f>(F80+F81+F82)*0.07</f>
        <v>4329586.7300000004</v>
      </c>
      <c r="G83" s="123">
        <f>(G81+G82)*0.07+(4022229*0.07)</f>
        <v>1074885.2331000001</v>
      </c>
      <c r="H83" s="123">
        <f t="shared" ref="H83" si="43">(H80+H81+H82)*0.07</f>
        <v>1846555.2700000003</v>
      </c>
      <c r="I83" s="50">
        <f>G83+H83</f>
        <v>2921440.5031000003</v>
      </c>
      <c r="J83" s="18">
        <f>F83+I83</f>
        <v>7251027.2331000008</v>
      </c>
      <c r="K83" s="118"/>
      <c r="L83" s="131"/>
      <c r="M83" s="10">
        <f>0.07*(M80+M81+M82)</f>
        <v>1457700.6199</v>
      </c>
      <c r="N83" s="10">
        <f t="shared" ref="N83:Q83" si="44">0.07*(N80+N81+N82)</f>
        <v>2540709.08</v>
      </c>
      <c r="O83" s="10">
        <f t="shared" si="44"/>
        <v>983889.83000000007</v>
      </c>
      <c r="P83" s="10">
        <f t="shared" si="44"/>
        <v>3524598.91</v>
      </c>
      <c r="Q83" s="147">
        <f t="shared" si="44"/>
        <v>693870.31</v>
      </c>
    </row>
    <row r="84" spans="1:17" ht="15.75" thickBot="1" x14ac:dyDescent="0.3">
      <c r="A84" s="59" t="s">
        <v>6</v>
      </c>
      <c r="B84" s="60"/>
      <c r="C84" s="61">
        <f>C83+C82+C81+C80</f>
        <v>98121290.956975728</v>
      </c>
      <c r="D84" s="61">
        <f>D83+D82+D81+D80</f>
        <v>31387943.461999997</v>
      </c>
      <c r="E84" s="61">
        <f>E83+E82+E81+E80</f>
        <v>129509234.41897573</v>
      </c>
      <c r="F84" s="61">
        <f>F83+F82+F81+F80</f>
        <v>66180825.730000004</v>
      </c>
      <c r="G84" s="135">
        <f t="shared" ref="G84:J84" si="45">G83+G82+G81+G80</f>
        <v>19835465.563099999</v>
      </c>
      <c r="H84" s="135">
        <f t="shared" si="45"/>
        <v>28225916.27</v>
      </c>
      <c r="I84" s="62">
        <f t="shared" si="45"/>
        <v>48061381.833099999</v>
      </c>
      <c r="J84" s="62">
        <f t="shared" si="45"/>
        <v>114242207.56310001</v>
      </c>
      <c r="K84" s="119">
        <f>J84/E84</f>
        <v>0.8821163068072404</v>
      </c>
      <c r="L84" s="132"/>
      <c r="M84" s="156">
        <f>SUM(M80:M83)</f>
        <v>22281995.1899</v>
      </c>
      <c r="N84" s="156">
        <f t="shared" ref="N84:Q84" si="46">SUM(N80:N83)</f>
        <v>38836553.079999998</v>
      </c>
      <c r="O84" s="156">
        <f t="shared" si="46"/>
        <v>15039458.83</v>
      </c>
      <c r="P84" s="156">
        <f t="shared" si="46"/>
        <v>53876011.909999996</v>
      </c>
      <c r="Q84" s="156">
        <f t="shared" si="46"/>
        <v>10606303.310000001</v>
      </c>
    </row>
    <row r="85" spans="1:17" ht="18" customHeight="1" x14ac:dyDescent="0.25">
      <c r="A85" s="8"/>
      <c r="D85" s="7"/>
      <c r="E85" s="7"/>
      <c r="F85" s="3"/>
      <c r="G85" s="70"/>
      <c r="H85" s="4"/>
      <c r="J85" s="4"/>
      <c r="L85" s="16"/>
      <c r="M85" s="3"/>
    </row>
    <row r="86" spans="1:17" ht="18" customHeight="1" x14ac:dyDescent="0.25">
      <c r="A86" s="107" t="s">
        <v>130</v>
      </c>
      <c r="D86" s="7"/>
      <c r="E86" s="7"/>
      <c r="F86" s="3"/>
      <c r="G86" s="70"/>
      <c r="H86" s="4"/>
      <c r="J86" s="4"/>
      <c r="L86" s="16"/>
      <c r="M86" s="3"/>
    </row>
    <row r="87" spans="1:17" ht="27" customHeight="1" x14ac:dyDescent="0.25">
      <c r="A87" s="236" t="s">
        <v>131</v>
      </c>
      <c r="B87" s="236"/>
      <c r="C87" s="236"/>
      <c r="D87" s="236"/>
      <c r="E87" s="236"/>
      <c r="F87" s="236"/>
      <c r="G87" s="236"/>
      <c r="H87" s="236"/>
      <c r="I87" s="236"/>
      <c r="J87" s="236"/>
      <c r="K87" s="236"/>
      <c r="L87" s="16"/>
      <c r="M87" s="3"/>
    </row>
    <row r="88" spans="1:17" ht="42" customHeight="1" x14ac:dyDescent="0.25">
      <c r="A88" s="236"/>
      <c r="B88" s="236"/>
      <c r="C88" s="236"/>
      <c r="D88" s="236"/>
      <c r="E88" s="236"/>
      <c r="F88" s="236"/>
      <c r="G88" s="236"/>
      <c r="H88" s="236"/>
      <c r="I88" s="236"/>
      <c r="J88" s="236"/>
      <c r="K88" s="236"/>
      <c r="L88" s="197" t="s">
        <v>160</v>
      </c>
      <c r="M88" s="197"/>
    </row>
    <row r="89" spans="1:17" ht="38.25" customHeight="1" x14ac:dyDescent="0.25">
      <c r="A89" s="108"/>
      <c r="B89" s="108"/>
      <c r="C89" s="108"/>
      <c r="D89" s="108"/>
      <c r="E89" s="108"/>
      <c r="F89" s="108"/>
      <c r="G89" s="108"/>
      <c r="H89" s="108"/>
      <c r="I89" s="108"/>
      <c r="J89" s="108"/>
      <c r="K89" s="108"/>
      <c r="L89" s="157" t="s">
        <v>161</v>
      </c>
      <c r="M89" s="157" t="s">
        <v>162</v>
      </c>
    </row>
    <row r="90" spans="1:17" ht="33" customHeight="1" x14ac:dyDescent="0.25">
      <c r="A90" s="222"/>
      <c r="B90" s="222"/>
      <c r="C90" s="222"/>
      <c r="D90" s="222"/>
      <c r="E90" s="222"/>
      <c r="F90" s="222"/>
      <c r="G90" s="222"/>
      <c r="H90" s="222"/>
      <c r="I90" s="222"/>
      <c r="J90" s="222"/>
      <c r="K90" s="222"/>
      <c r="L90" s="158" t="s">
        <v>163</v>
      </c>
      <c r="M90" s="159"/>
    </row>
    <row r="91" spans="1:17" ht="30" x14ac:dyDescent="0.25">
      <c r="B91" s="6"/>
      <c r="C91" s="6"/>
      <c r="D91" s="6"/>
      <c r="E91" s="6"/>
      <c r="F91" s="6"/>
      <c r="G91" s="6"/>
      <c r="H91" s="6"/>
      <c r="I91" s="5"/>
      <c r="J91" s="6"/>
      <c r="L91" s="158" t="s">
        <v>164</v>
      </c>
      <c r="M91" s="160">
        <f>T81/O81</f>
        <v>0</v>
      </c>
    </row>
    <row r="92" spans="1:17" ht="26.25" customHeight="1" x14ac:dyDescent="0.25">
      <c r="C92" s="7"/>
      <c r="D92" s="7"/>
      <c r="E92" s="3"/>
      <c r="G92" s="7"/>
      <c r="L92" s="19" t="s">
        <v>165</v>
      </c>
      <c r="M92" s="161">
        <f>R81/O81</f>
        <v>0</v>
      </c>
    </row>
    <row r="93" spans="1:17" ht="60" x14ac:dyDescent="0.25">
      <c r="C93" s="7"/>
      <c r="D93" s="7"/>
      <c r="E93" s="7"/>
      <c r="L93" s="19" t="s">
        <v>166</v>
      </c>
      <c r="M93" s="161">
        <f>S81/O81</f>
        <v>0</v>
      </c>
    </row>
    <row r="94" spans="1:17" ht="29.25" customHeight="1" x14ac:dyDescent="0.25">
      <c r="C94" s="7"/>
      <c r="D94" s="7"/>
      <c r="E94" s="3"/>
      <c r="G94" s="4"/>
      <c r="L94" s="162" t="s">
        <v>167</v>
      </c>
      <c r="M94" s="160">
        <f>U81/O81</f>
        <v>0</v>
      </c>
    </row>
    <row r="95" spans="1:17" ht="34.5" customHeight="1" x14ac:dyDescent="0.25">
      <c r="C95" s="7"/>
      <c r="D95" s="7"/>
      <c r="E95" s="4"/>
      <c r="G95" s="2"/>
      <c r="L95" s="163" t="s">
        <v>6</v>
      </c>
      <c r="M95" s="164">
        <f>M94+M91+M90</f>
        <v>0</v>
      </c>
    </row>
    <row r="96" spans="1:17" x14ac:dyDescent="0.25">
      <c r="G96" s="20"/>
    </row>
    <row r="97" spans="5:5" x14ac:dyDescent="0.25">
      <c r="E97" s="4"/>
    </row>
    <row r="98" spans="5:5" x14ac:dyDescent="0.25">
      <c r="E98" s="4"/>
    </row>
    <row r="99" spans="5:5" x14ac:dyDescent="0.25">
      <c r="E99" s="4"/>
    </row>
  </sheetData>
  <mergeCells count="44">
    <mergeCell ref="A37:K37"/>
    <mergeCell ref="A45:K45"/>
    <mergeCell ref="C6:C12"/>
    <mergeCell ref="D6:D12"/>
    <mergeCell ref="E6:E12"/>
    <mergeCell ref="A90:K90"/>
    <mergeCell ref="A57:A58"/>
    <mergeCell ref="A59:A60"/>
    <mergeCell ref="A62:K62"/>
    <mergeCell ref="A63:A65"/>
    <mergeCell ref="A66:A68"/>
    <mergeCell ref="A71:K71"/>
    <mergeCell ref="A80:A82"/>
    <mergeCell ref="A87:K87"/>
    <mergeCell ref="A88:K88"/>
    <mergeCell ref="A5:Q5"/>
    <mergeCell ref="G6:I6"/>
    <mergeCell ref="G8:G12"/>
    <mergeCell ref="H8:H12"/>
    <mergeCell ref="L6:L12"/>
    <mergeCell ref="M6:Q6"/>
    <mergeCell ref="N8:N12"/>
    <mergeCell ref="O8:O12"/>
    <mergeCell ref="P8:P12"/>
    <mergeCell ref="M7:M12"/>
    <mergeCell ref="Q7:Q12"/>
    <mergeCell ref="N7:P7"/>
    <mergeCell ref="I8:I12"/>
    <mergeCell ref="A6:A12"/>
    <mergeCell ref="B6:B12"/>
    <mergeCell ref="J6:J12"/>
    <mergeCell ref="K6:K12"/>
    <mergeCell ref="L88:M88"/>
    <mergeCell ref="F7:F12"/>
    <mergeCell ref="A55:K55"/>
    <mergeCell ref="A13:J13"/>
    <mergeCell ref="A15:A17"/>
    <mergeCell ref="A46:A47"/>
    <mergeCell ref="A48:A50"/>
    <mergeCell ref="A51:A53"/>
    <mergeCell ref="A33:K33"/>
    <mergeCell ref="A20:K20"/>
    <mergeCell ref="A21:A22"/>
    <mergeCell ref="A25:A26"/>
  </mergeCells>
  <pageMargins left="0.70866141732283472" right="0.70866141732283472" top="0.74803149606299213" bottom="0.74803149606299213" header="0.31496062992125984" footer="0.31496062992125984"/>
  <pageSetup paperSize="8" scale="6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1"/>
  <sheetViews>
    <sheetView topLeftCell="B1" workbookViewId="0">
      <selection activeCell="J31" sqref="J31"/>
    </sheetView>
  </sheetViews>
  <sheetFormatPr defaultRowHeight="15" x14ac:dyDescent="0.25"/>
  <cols>
    <col min="3" max="3" width="14.28515625" customWidth="1"/>
    <col min="4" max="4" width="11.5703125" customWidth="1"/>
    <col min="5" max="5" width="11.7109375" customWidth="1"/>
    <col min="6" max="6" width="12.28515625" bestFit="1" customWidth="1"/>
    <col min="13" max="13" width="14.85546875" customWidth="1"/>
    <col min="14" max="14" width="10.85546875" bestFit="1" customWidth="1"/>
    <col min="15" max="15" width="15.28515625" customWidth="1"/>
    <col min="16" max="16" width="12.85546875" customWidth="1"/>
  </cols>
  <sheetData>
    <row r="2" spans="1:16" x14ac:dyDescent="0.25">
      <c r="C2" t="s">
        <v>96</v>
      </c>
      <c r="F2" s="21">
        <f>P7</f>
        <v>836925.35</v>
      </c>
      <c r="M2" s="191" t="s">
        <v>100</v>
      </c>
      <c r="N2" s="191"/>
      <c r="O2" s="191"/>
      <c r="P2" s="191"/>
    </row>
    <row r="3" spans="1:16" ht="30" x14ac:dyDescent="0.25">
      <c r="M3" s="67"/>
      <c r="N3" s="67" t="s">
        <v>101</v>
      </c>
      <c r="O3" s="68" t="s">
        <v>102</v>
      </c>
      <c r="P3" s="67" t="s">
        <v>103</v>
      </c>
    </row>
    <row r="4" spans="1:16" x14ac:dyDescent="0.25">
      <c r="C4" t="s">
        <v>30</v>
      </c>
      <c r="M4">
        <v>7.1</v>
      </c>
      <c r="N4" s="7">
        <f>134435</f>
        <v>134435</v>
      </c>
      <c r="O4" s="66">
        <f>N4/N6</f>
        <v>0.27435658294574911</v>
      </c>
      <c r="P4" s="7">
        <f>(N4/N6)*P6</f>
        <v>63602.068641746751</v>
      </c>
    </row>
    <row r="5" spans="1:16" ht="30" customHeight="1" x14ac:dyDescent="0.25">
      <c r="C5" s="23" t="s">
        <v>97</v>
      </c>
      <c r="D5" t="s">
        <v>98</v>
      </c>
      <c r="E5" t="s">
        <v>99</v>
      </c>
      <c r="M5">
        <v>7.2</v>
      </c>
      <c r="N5" s="7">
        <v>355566</v>
      </c>
      <c r="O5" s="66">
        <f>N5/N6</f>
        <v>0.72564341705425095</v>
      </c>
      <c r="P5" s="7">
        <f>(N5/N6)*P6</f>
        <v>168220.57603058225</v>
      </c>
    </row>
    <row r="6" spans="1:16" x14ac:dyDescent="0.25">
      <c r="B6" t="s">
        <v>1</v>
      </c>
      <c r="C6" s="7">
        <v>506482</v>
      </c>
      <c r="D6" s="7">
        <v>19329</v>
      </c>
      <c r="E6" s="7">
        <v>233443</v>
      </c>
      <c r="F6" s="7">
        <f>SUM(C6:E6)</f>
        <v>759254</v>
      </c>
      <c r="N6" s="7">
        <f>SUM(N4:N5)</f>
        <v>490001</v>
      </c>
      <c r="O6" s="20">
        <f>N6/1769000</f>
        <v>0.27699321650650083</v>
      </c>
      <c r="P6" s="7">
        <f>O6*P7</f>
        <v>231822.64467232898</v>
      </c>
    </row>
    <row r="7" spans="1:16" x14ac:dyDescent="0.25">
      <c r="B7" t="s">
        <v>2</v>
      </c>
      <c r="C7" s="7">
        <v>347379</v>
      </c>
      <c r="D7" s="7"/>
      <c r="E7" s="7">
        <v>351864</v>
      </c>
      <c r="F7" s="7">
        <f t="shared" ref="F7:F8" si="0">SUM(C7:E7)</f>
        <v>699243</v>
      </c>
      <c r="N7" s="20"/>
      <c r="O7" s="20"/>
      <c r="P7" s="69">
        <f>836925.35</f>
        <v>836925.35</v>
      </c>
    </row>
    <row r="8" spans="1:16" x14ac:dyDescent="0.25">
      <c r="B8" t="s">
        <v>3</v>
      </c>
      <c r="C8" s="7">
        <f>P8</f>
        <v>605102.70532767102</v>
      </c>
      <c r="D8" s="7">
        <v>0</v>
      </c>
      <c r="E8" s="7">
        <v>388244</v>
      </c>
      <c r="F8" s="7">
        <f t="shared" si="0"/>
        <v>993346.70532767102</v>
      </c>
      <c r="N8" s="20"/>
      <c r="O8" s="20"/>
      <c r="P8" s="7">
        <f>P7-P6</f>
        <v>605102.70532767102</v>
      </c>
    </row>
    <row r="9" spans="1:16" x14ac:dyDescent="0.25">
      <c r="C9" s="7">
        <f>SUM(C6:C8)</f>
        <v>1458963.705327671</v>
      </c>
      <c r="D9" s="7">
        <f t="shared" ref="D9:F9" si="1">SUM(D6:D8)</f>
        <v>19329</v>
      </c>
      <c r="E9" s="7">
        <f t="shared" si="1"/>
        <v>973551</v>
      </c>
      <c r="F9" s="7">
        <f t="shared" si="1"/>
        <v>2451843.705327671</v>
      </c>
    </row>
    <row r="11" spans="1:16" x14ac:dyDescent="0.25">
      <c r="B11" t="s">
        <v>105</v>
      </c>
    </row>
    <row r="12" spans="1:16" x14ac:dyDescent="0.25">
      <c r="A12" t="s">
        <v>104</v>
      </c>
    </row>
    <row r="13" spans="1:16" x14ac:dyDescent="0.25">
      <c r="A13">
        <v>8.1</v>
      </c>
      <c r="B13">
        <v>0.18</v>
      </c>
      <c r="C13" s="7">
        <f>B13*C9</f>
        <v>262613.46695898077</v>
      </c>
      <c r="D13" s="21">
        <f>D9*B13</f>
        <v>3479.22</v>
      </c>
      <c r="E13" s="7">
        <f>E9*B13</f>
        <v>175239.18</v>
      </c>
      <c r="F13" s="7">
        <f>SUM(C13:E13)</f>
        <v>441331.86695898074</v>
      </c>
    </row>
    <row r="14" spans="1:16" x14ac:dyDescent="0.25">
      <c r="A14">
        <v>8.1999999999999993</v>
      </c>
      <c r="B14">
        <v>0.17</v>
      </c>
      <c r="C14" s="7">
        <f>B14*C9</f>
        <v>248023.8299057041</v>
      </c>
      <c r="D14" s="21">
        <f>B14*D9</f>
        <v>3285.9300000000003</v>
      </c>
      <c r="E14" s="7">
        <f>E9*B14</f>
        <v>165503.67000000001</v>
      </c>
      <c r="F14" s="7">
        <f t="shared" ref="F14:F18" si="2">SUM(C14:E14)</f>
        <v>416813.42990570411</v>
      </c>
    </row>
    <row r="15" spans="1:16" x14ac:dyDescent="0.25">
      <c r="A15">
        <v>8.3000000000000007</v>
      </c>
      <c r="B15">
        <v>0.2</v>
      </c>
      <c r="C15" s="7">
        <f>B15*C9</f>
        <v>291792.74106553424</v>
      </c>
      <c r="D15" s="7">
        <f>B15*D9</f>
        <v>3865.8</v>
      </c>
      <c r="E15" s="7">
        <f>E9*B15</f>
        <v>194710.2</v>
      </c>
      <c r="F15" s="7">
        <f t="shared" si="2"/>
        <v>490368.74106553424</v>
      </c>
    </row>
    <row r="16" spans="1:16" x14ac:dyDescent="0.25">
      <c r="A16">
        <v>8.4</v>
      </c>
      <c r="B16">
        <v>0.22</v>
      </c>
      <c r="C16" s="7">
        <f>B16*C9</f>
        <v>320972.01517208765</v>
      </c>
      <c r="D16" s="21">
        <f>B16*D9</f>
        <v>4252.38</v>
      </c>
      <c r="E16" s="7">
        <f>E9*B16</f>
        <v>214181.22</v>
      </c>
      <c r="F16" s="7">
        <f t="shared" si="2"/>
        <v>539405.61517208768</v>
      </c>
    </row>
    <row r="17" spans="1:6" x14ac:dyDescent="0.25">
      <c r="A17">
        <v>8.5</v>
      </c>
      <c r="B17">
        <v>0.1</v>
      </c>
      <c r="C17" s="7">
        <f>B17*C9</f>
        <v>145896.37053276712</v>
      </c>
      <c r="D17" s="21">
        <f>B17*D9</f>
        <v>1932.9</v>
      </c>
      <c r="E17" s="7">
        <f>B17*E9</f>
        <v>97355.1</v>
      </c>
      <c r="F17" s="7">
        <f t="shared" si="2"/>
        <v>245184.37053276712</v>
      </c>
    </row>
    <row r="18" spans="1:6" x14ac:dyDescent="0.25">
      <c r="A18">
        <v>8.6</v>
      </c>
      <c r="B18">
        <v>0.13</v>
      </c>
      <c r="C18" s="7">
        <f>B18*C9</f>
        <v>189665.28169259723</v>
      </c>
      <c r="D18" s="21">
        <f>B18*D9</f>
        <v>2512.77</v>
      </c>
      <c r="E18" s="7">
        <f>B18*E9</f>
        <v>126561.63</v>
      </c>
      <c r="F18" s="7">
        <f t="shared" si="2"/>
        <v>318739.68169259722</v>
      </c>
    </row>
    <row r="19" spans="1:6" x14ac:dyDescent="0.25">
      <c r="B19">
        <f>SUM(B13:B18)</f>
        <v>1</v>
      </c>
      <c r="C19" s="21">
        <f>SUM(C13:C18)</f>
        <v>1458963.7053276713</v>
      </c>
      <c r="D19" s="7">
        <f>SUM(D13:D18)</f>
        <v>19329.000000000004</v>
      </c>
      <c r="E19" s="7">
        <f>SUM(E13:E18)</f>
        <v>973551</v>
      </c>
      <c r="F19" s="7">
        <f>SUM(F13:F18)</f>
        <v>2451843.705327671</v>
      </c>
    </row>
    <row r="21" spans="1:6" x14ac:dyDescent="0.25">
      <c r="C21" s="21"/>
    </row>
    <row r="26" spans="1:6" x14ac:dyDescent="0.25">
      <c r="D26" s="7">
        <f>5451920+8573795+5740190</f>
        <v>19765905</v>
      </c>
      <c r="F26" s="7">
        <f>836925-401619.37</f>
        <v>435305.63</v>
      </c>
    </row>
    <row r="28" spans="1:6" x14ac:dyDescent="0.25">
      <c r="B28" t="s">
        <v>133</v>
      </c>
    </row>
    <row r="30" spans="1:6" x14ac:dyDescent="0.25">
      <c r="B30">
        <v>1</v>
      </c>
      <c r="C30" t="s">
        <v>139</v>
      </c>
    </row>
    <row r="31" spans="1:6" ht="24.75" customHeight="1" x14ac:dyDescent="0.25">
      <c r="C31" t="s">
        <v>101</v>
      </c>
      <c r="D31" s="68" t="s">
        <v>134</v>
      </c>
    </row>
    <row r="32" spans="1:6" x14ac:dyDescent="0.25">
      <c r="B32">
        <v>7.1</v>
      </c>
      <c r="C32" s="7">
        <v>134435</v>
      </c>
      <c r="D32" s="66">
        <f>C32/C34</f>
        <v>0.27435658294574911</v>
      </c>
    </row>
    <row r="33" spans="2:6" x14ac:dyDescent="0.25">
      <c r="B33">
        <v>7.2</v>
      </c>
      <c r="C33" s="7">
        <v>355566</v>
      </c>
      <c r="D33" s="66">
        <f>C33/C34</f>
        <v>0.72564341705425095</v>
      </c>
    </row>
    <row r="34" spans="2:6" x14ac:dyDescent="0.25">
      <c r="C34" s="7">
        <f>SUM(C32:C33)</f>
        <v>490001</v>
      </c>
    </row>
    <row r="36" spans="2:6" x14ac:dyDescent="0.25">
      <c r="B36">
        <v>2</v>
      </c>
      <c r="C36" t="s">
        <v>135</v>
      </c>
    </row>
    <row r="38" spans="2:6" x14ac:dyDescent="0.25">
      <c r="C38" t="s">
        <v>136</v>
      </c>
      <c r="F38" s="7">
        <v>1769000</v>
      </c>
    </row>
    <row r="39" spans="2:6" x14ac:dyDescent="0.25">
      <c r="C39" t="s">
        <v>137</v>
      </c>
      <c r="F39" s="66">
        <f>C34/F38</f>
        <v>0.27699321650650083</v>
      </c>
    </row>
    <row r="41" spans="2:6" x14ac:dyDescent="0.25">
      <c r="B41">
        <v>3</v>
      </c>
      <c r="C41" t="s">
        <v>138</v>
      </c>
    </row>
  </sheetData>
  <mergeCells count="1">
    <mergeCell ref="M2:P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N27"/>
  <sheetViews>
    <sheetView topLeftCell="A2" zoomScaleNormal="100" workbookViewId="0">
      <selection activeCell="C13" sqref="C13"/>
    </sheetView>
  </sheetViews>
  <sheetFormatPr defaultRowHeight="15" x14ac:dyDescent="0.25"/>
  <cols>
    <col min="2" max="2" width="8.28515625" customWidth="1"/>
    <col min="3" max="3" width="9.7109375" customWidth="1"/>
    <col min="4" max="4" width="10" customWidth="1"/>
    <col min="5" max="5" width="11" customWidth="1"/>
    <col min="6" max="6" width="10.42578125" customWidth="1"/>
    <col min="7" max="7" width="10.28515625" customWidth="1"/>
    <col min="8" max="8" width="11.5703125" customWidth="1"/>
    <col min="9" max="9" width="11" customWidth="1"/>
    <col min="10" max="10" width="10.28515625" customWidth="1"/>
  </cols>
  <sheetData>
    <row r="6" spans="2:14" ht="48" customHeight="1" x14ac:dyDescent="0.25">
      <c r="B6" s="89" t="s">
        <v>0</v>
      </c>
      <c r="C6" s="89" t="s">
        <v>106</v>
      </c>
      <c r="D6" s="89" t="s">
        <v>107</v>
      </c>
      <c r="E6" s="89" t="s">
        <v>110</v>
      </c>
      <c r="F6" s="89" t="s">
        <v>112</v>
      </c>
      <c r="G6" s="89" t="s">
        <v>108</v>
      </c>
      <c r="H6" s="89" t="s">
        <v>129</v>
      </c>
      <c r="I6" s="86"/>
      <c r="J6" s="86"/>
    </row>
    <row r="7" spans="2:14" x14ac:dyDescent="0.25">
      <c r="B7" s="89"/>
      <c r="C7" s="89"/>
      <c r="D7" s="89"/>
      <c r="E7" s="89"/>
      <c r="F7" s="89"/>
      <c r="G7" s="89"/>
      <c r="H7" s="89"/>
      <c r="I7" s="86"/>
      <c r="J7" s="86"/>
    </row>
    <row r="8" spans="2:14" x14ac:dyDescent="0.25">
      <c r="B8" s="90" t="s">
        <v>1</v>
      </c>
      <c r="C8" s="91">
        <v>91515</v>
      </c>
      <c r="D8" s="91">
        <v>85638</v>
      </c>
      <c r="E8" s="91">
        <v>50815</v>
      </c>
      <c r="F8" s="91">
        <v>10865</v>
      </c>
      <c r="G8" s="91">
        <f>SUM(E8:F8)</f>
        <v>61680</v>
      </c>
      <c r="H8" s="92">
        <f>G8/D8</f>
        <v>0.72024101450290756</v>
      </c>
      <c r="I8" s="87"/>
      <c r="J8" s="87"/>
    </row>
    <row r="9" spans="2:14" x14ac:dyDescent="0.25">
      <c r="B9" s="90" t="s">
        <v>2</v>
      </c>
      <c r="C9" s="91">
        <v>92020</v>
      </c>
      <c r="D9" s="91">
        <v>87075</v>
      </c>
      <c r="E9" s="91">
        <v>51561</v>
      </c>
      <c r="F9" s="91">
        <v>7008</v>
      </c>
      <c r="G9" s="91">
        <f>SUM(E9:F9)</f>
        <v>58569</v>
      </c>
      <c r="H9" s="92">
        <f t="shared" ref="H9:H10" si="0">G9/D9</f>
        <v>0.67262704565030151</v>
      </c>
      <c r="I9" s="87"/>
      <c r="J9" s="87"/>
    </row>
    <row r="10" spans="2:14" x14ac:dyDescent="0.25">
      <c r="B10" s="93" t="s">
        <v>3</v>
      </c>
      <c r="C10" s="91">
        <v>57145</v>
      </c>
      <c r="D10" s="91">
        <v>55180</v>
      </c>
      <c r="E10" s="91">
        <v>35160</v>
      </c>
      <c r="F10" s="91">
        <v>8517</v>
      </c>
      <c r="G10" s="91">
        <f>SUM(E10:F10)</f>
        <v>43677</v>
      </c>
      <c r="H10" s="92">
        <f t="shared" si="0"/>
        <v>0.79153678869155486</v>
      </c>
      <c r="I10" s="87"/>
      <c r="J10" s="87"/>
    </row>
    <row r="11" spans="2:14" x14ac:dyDescent="0.25">
      <c r="B11" s="94" t="s">
        <v>27</v>
      </c>
      <c r="C11" s="95">
        <f>SUM(C8:C10)</f>
        <v>240680</v>
      </c>
      <c r="D11" s="95">
        <f>SUM(D8:D10)</f>
        <v>227893</v>
      </c>
      <c r="E11" s="95">
        <f>SUM(E8:E10)</f>
        <v>137536</v>
      </c>
      <c r="F11" s="95">
        <f>SUM(F8:F10)</f>
        <v>26390</v>
      </c>
      <c r="G11" s="95">
        <f>SUM(E11:F11)</f>
        <v>163926</v>
      </c>
      <c r="H11" s="96">
        <f>G11/D11</f>
        <v>0.71931125572088661</v>
      </c>
      <c r="I11" s="88"/>
      <c r="J11" s="88"/>
    </row>
    <row r="13" spans="2:14" x14ac:dyDescent="0.25">
      <c r="C13" s="24"/>
      <c r="D13" s="24"/>
    </row>
    <row r="14" spans="2:14" x14ac:dyDescent="0.25">
      <c r="C14" s="24"/>
      <c r="D14" s="24"/>
      <c r="N14" t="s">
        <v>9</v>
      </c>
    </row>
    <row r="15" spans="2:14" x14ac:dyDescent="0.25">
      <c r="C15" s="7"/>
      <c r="D15" s="24"/>
    </row>
    <row r="20" spans="2:10" ht="44.25" customHeight="1" x14ac:dyDescent="0.25">
      <c r="B20" s="246" t="s">
        <v>0</v>
      </c>
      <c r="C20" s="246" t="s">
        <v>109</v>
      </c>
      <c r="D20" s="246" t="s">
        <v>107</v>
      </c>
      <c r="E20" s="246" t="s">
        <v>110</v>
      </c>
      <c r="F20" s="246" t="s">
        <v>111</v>
      </c>
      <c r="G20" s="246" t="s">
        <v>108</v>
      </c>
      <c r="H20" s="244" t="s">
        <v>129</v>
      </c>
      <c r="I20" s="246" t="s">
        <v>28</v>
      </c>
      <c r="J20" s="246" t="s">
        <v>113</v>
      </c>
    </row>
    <row r="21" spans="2:10" x14ac:dyDescent="0.25">
      <c r="B21" s="246"/>
      <c r="C21" s="246"/>
      <c r="D21" s="246"/>
      <c r="E21" s="246"/>
      <c r="F21" s="246"/>
      <c r="G21" s="246"/>
      <c r="H21" s="245"/>
      <c r="I21" s="246"/>
      <c r="J21" s="246"/>
    </row>
    <row r="22" spans="2:10" x14ac:dyDescent="0.25">
      <c r="B22" s="90" t="s">
        <v>1</v>
      </c>
      <c r="C22" s="91">
        <v>45937</v>
      </c>
      <c r="D22" s="91">
        <f>C22</f>
        <v>45937</v>
      </c>
      <c r="E22" s="91">
        <v>24231</v>
      </c>
      <c r="F22" s="91">
        <v>7625</v>
      </c>
      <c r="G22" s="91">
        <f>SUM(E22:F22)</f>
        <v>31856</v>
      </c>
      <c r="H22" s="92">
        <f>G22/D22</f>
        <v>0.69347149356727689</v>
      </c>
      <c r="I22" s="91">
        <v>8607</v>
      </c>
      <c r="J22" s="91">
        <f>E22+F22+I22</f>
        <v>40463</v>
      </c>
    </row>
    <row r="23" spans="2:10" x14ac:dyDescent="0.25">
      <c r="B23" s="90" t="s">
        <v>2</v>
      </c>
      <c r="C23" s="91">
        <v>47370</v>
      </c>
      <c r="D23" s="91">
        <f>C23</f>
        <v>47370</v>
      </c>
      <c r="E23" s="91">
        <v>22020</v>
      </c>
      <c r="F23" s="91">
        <v>5240</v>
      </c>
      <c r="G23" s="91">
        <f t="shared" ref="G23:G24" si="1">SUM(E23:F23)</f>
        <v>27260</v>
      </c>
      <c r="H23" s="92">
        <f t="shared" ref="H23:H24" si="2">G23/D23</f>
        <v>0.57546970656533669</v>
      </c>
      <c r="I23" s="91">
        <v>12753</v>
      </c>
      <c r="J23" s="91">
        <f t="shared" ref="J23:J24" si="3">E23+F23+I23</f>
        <v>40013</v>
      </c>
    </row>
    <row r="24" spans="2:10" x14ac:dyDescent="0.25">
      <c r="B24" s="93" t="s">
        <v>3</v>
      </c>
      <c r="C24" s="91">
        <v>36202</v>
      </c>
      <c r="D24" s="91">
        <f>C24</f>
        <v>36202</v>
      </c>
      <c r="E24" s="91">
        <v>19929</v>
      </c>
      <c r="F24" s="91">
        <v>6422</v>
      </c>
      <c r="G24" s="91">
        <f t="shared" si="1"/>
        <v>26351</v>
      </c>
      <c r="H24" s="92">
        <f t="shared" si="2"/>
        <v>0.72788796199105021</v>
      </c>
      <c r="I24" s="91">
        <v>6865</v>
      </c>
      <c r="J24" s="91">
        <f t="shared" si="3"/>
        <v>33216</v>
      </c>
    </row>
    <row r="25" spans="2:10" x14ac:dyDescent="0.25">
      <c r="B25" s="94" t="s">
        <v>27</v>
      </c>
      <c r="C25" s="97">
        <f>SUM(C22:C24)</f>
        <v>129509</v>
      </c>
      <c r="D25" s="97">
        <f>SUM(D22:D24)</f>
        <v>129509</v>
      </c>
      <c r="E25" s="97">
        <f>SUM(E22:E24)</f>
        <v>66180</v>
      </c>
      <c r="F25" s="97">
        <f>SUM(F22:F24)</f>
        <v>19287</v>
      </c>
      <c r="G25" s="97">
        <f>SUM(E25:F25)</f>
        <v>85467</v>
      </c>
      <c r="H25" s="98">
        <f>G25/D25</f>
        <v>0.65993097004841361</v>
      </c>
      <c r="I25" s="95">
        <f>SUM(I22:I24)</f>
        <v>28225</v>
      </c>
      <c r="J25" s="95">
        <f>SUM(J22:J24)</f>
        <v>113692</v>
      </c>
    </row>
    <row r="27" spans="2:10" x14ac:dyDescent="0.25">
      <c r="F27" s="66"/>
      <c r="H27" s="24"/>
      <c r="J27" s="20"/>
    </row>
  </sheetData>
  <mergeCells count="9">
    <mergeCell ref="H20:H21"/>
    <mergeCell ref="I20:I21"/>
    <mergeCell ref="J20:J21"/>
    <mergeCell ref="B20:B21"/>
    <mergeCell ref="C20:C21"/>
    <mergeCell ref="D20:D21"/>
    <mergeCell ref="E20:E21"/>
    <mergeCell ref="F20:F21"/>
    <mergeCell ref="G20:G21"/>
  </mergeCell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pane ySplit="5" topLeftCell="A14" activePane="bottomLeft" state="frozen"/>
      <selection pane="bottomLeft" activeCell="E44" sqref="E44"/>
    </sheetView>
  </sheetViews>
  <sheetFormatPr defaultRowHeight="12.75" x14ac:dyDescent="0.2"/>
  <cols>
    <col min="1" max="1" width="13.5703125" style="71" customWidth="1"/>
    <col min="2" max="2" width="6.7109375" style="71" customWidth="1"/>
    <col min="3" max="3" width="15.85546875" style="71" customWidth="1"/>
    <col min="4" max="4" width="13.85546875" style="71" customWidth="1"/>
    <col min="5" max="5" width="13.140625" style="71" customWidth="1"/>
    <col min="6" max="6" width="13.28515625" style="71" customWidth="1"/>
    <col min="7" max="7" width="12.85546875" style="71" customWidth="1"/>
    <col min="8" max="8" width="13.85546875" style="71" customWidth="1"/>
    <col min="9" max="256" width="9.140625" style="71"/>
    <col min="257" max="257" width="13.5703125" style="71" customWidth="1"/>
    <col min="258" max="258" width="6.7109375" style="71" customWidth="1"/>
    <col min="259" max="259" width="15.85546875" style="71" customWidth="1"/>
    <col min="260" max="260" width="13.85546875" style="71" customWidth="1"/>
    <col min="261" max="261" width="13.140625" style="71" customWidth="1"/>
    <col min="262" max="262" width="13.28515625" style="71" customWidth="1"/>
    <col min="263" max="263" width="12.85546875" style="71" customWidth="1"/>
    <col min="264" max="264" width="13.85546875" style="71" customWidth="1"/>
    <col min="265" max="512" width="9.140625" style="71"/>
    <col min="513" max="513" width="13.5703125" style="71" customWidth="1"/>
    <col min="514" max="514" width="6.7109375" style="71" customWidth="1"/>
    <col min="515" max="515" width="15.85546875" style="71" customWidth="1"/>
    <col min="516" max="516" width="13.85546875" style="71" customWidth="1"/>
    <col min="517" max="517" width="13.140625" style="71" customWidth="1"/>
    <col min="518" max="518" width="13.28515625" style="71" customWidth="1"/>
    <col min="519" max="519" width="12.85546875" style="71" customWidth="1"/>
    <col min="520" max="520" width="13.85546875" style="71" customWidth="1"/>
    <col min="521" max="768" width="9.140625" style="71"/>
    <col min="769" max="769" width="13.5703125" style="71" customWidth="1"/>
    <col min="770" max="770" width="6.7109375" style="71" customWidth="1"/>
    <col min="771" max="771" width="15.85546875" style="71" customWidth="1"/>
    <col min="772" max="772" width="13.85546875" style="71" customWidth="1"/>
    <col min="773" max="773" width="13.140625" style="71" customWidth="1"/>
    <col min="774" max="774" width="13.28515625" style="71" customWidth="1"/>
    <col min="775" max="775" width="12.85546875" style="71" customWidth="1"/>
    <col min="776" max="776" width="13.85546875" style="71" customWidth="1"/>
    <col min="777" max="1024" width="9.140625" style="71"/>
    <col min="1025" max="1025" width="13.5703125" style="71" customWidth="1"/>
    <col min="1026" max="1026" width="6.7109375" style="71" customWidth="1"/>
    <col min="1027" max="1027" width="15.85546875" style="71" customWidth="1"/>
    <col min="1028" max="1028" width="13.85546875" style="71" customWidth="1"/>
    <col min="1029" max="1029" width="13.140625" style="71" customWidth="1"/>
    <col min="1030" max="1030" width="13.28515625" style="71" customWidth="1"/>
    <col min="1031" max="1031" width="12.85546875" style="71" customWidth="1"/>
    <col min="1032" max="1032" width="13.85546875" style="71" customWidth="1"/>
    <col min="1033" max="1280" width="9.140625" style="71"/>
    <col min="1281" max="1281" width="13.5703125" style="71" customWidth="1"/>
    <col min="1282" max="1282" width="6.7109375" style="71" customWidth="1"/>
    <col min="1283" max="1283" width="15.85546875" style="71" customWidth="1"/>
    <col min="1284" max="1284" width="13.85546875" style="71" customWidth="1"/>
    <col min="1285" max="1285" width="13.140625" style="71" customWidth="1"/>
    <col min="1286" max="1286" width="13.28515625" style="71" customWidth="1"/>
    <col min="1287" max="1287" width="12.85546875" style="71" customWidth="1"/>
    <col min="1288" max="1288" width="13.85546875" style="71" customWidth="1"/>
    <col min="1289" max="1536" width="9.140625" style="71"/>
    <col min="1537" max="1537" width="13.5703125" style="71" customWidth="1"/>
    <col min="1538" max="1538" width="6.7109375" style="71" customWidth="1"/>
    <col min="1539" max="1539" width="15.85546875" style="71" customWidth="1"/>
    <col min="1540" max="1540" width="13.85546875" style="71" customWidth="1"/>
    <col min="1541" max="1541" width="13.140625" style="71" customWidth="1"/>
    <col min="1542" max="1542" width="13.28515625" style="71" customWidth="1"/>
    <col min="1543" max="1543" width="12.85546875" style="71" customWidth="1"/>
    <col min="1544" max="1544" width="13.85546875" style="71" customWidth="1"/>
    <col min="1545" max="1792" width="9.140625" style="71"/>
    <col min="1793" max="1793" width="13.5703125" style="71" customWidth="1"/>
    <col min="1794" max="1794" width="6.7109375" style="71" customWidth="1"/>
    <col min="1795" max="1795" width="15.85546875" style="71" customWidth="1"/>
    <col min="1796" max="1796" width="13.85546875" style="71" customWidth="1"/>
    <col min="1797" max="1797" width="13.140625" style="71" customWidth="1"/>
    <col min="1798" max="1798" width="13.28515625" style="71" customWidth="1"/>
    <col min="1799" max="1799" width="12.85546875" style="71" customWidth="1"/>
    <col min="1800" max="1800" width="13.85546875" style="71" customWidth="1"/>
    <col min="1801" max="2048" width="9.140625" style="71"/>
    <col min="2049" max="2049" width="13.5703125" style="71" customWidth="1"/>
    <col min="2050" max="2050" width="6.7109375" style="71" customWidth="1"/>
    <col min="2051" max="2051" width="15.85546875" style="71" customWidth="1"/>
    <col min="2052" max="2052" width="13.85546875" style="71" customWidth="1"/>
    <col min="2053" max="2053" width="13.140625" style="71" customWidth="1"/>
    <col min="2054" max="2054" width="13.28515625" style="71" customWidth="1"/>
    <col min="2055" max="2055" width="12.85546875" style="71" customWidth="1"/>
    <col min="2056" max="2056" width="13.85546875" style="71" customWidth="1"/>
    <col min="2057" max="2304" width="9.140625" style="71"/>
    <col min="2305" max="2305" width="13.5703125" style="71" customWidth="1"/>
    <col min="2306" max="2306" width="6.7109375" style="71" customWidth="1"/>
    <col min="2307" max="2307" width="15.85546875" style="71" customWidth="1"/>
    <col min="2308" max="2308" width="13.85546875" style="71" customWidth="1"/>
    <col min="2309" max="2309" width="13.140625" style="71" customWidth="1"/>
    <col min="2310" max="2310" width="13.28515625" style="71" customWidth="1"/>
    <col min="2311" max="2311" width="12.85546875" style="71" customWidth="1"/>
    <col min="2312" max="2312" width="13.85546875" style="71" customWidth="1"/>
    <col min="2313" max="2560" width="9.140625" style="71"/>
    <col min="2561" max="2561" width="13.5703125" style="71" customWidth="1"/>
    <col min="2562" max="2562" width="6.7109375" style="71" customWidth="1"/>
    <col min="2563" max="2563" width="15.85546875" style="71" customWidth="1"/>
    <col min="2564" max="2564" width="13.85546875" style="71" customWidth="1"/>
    <col min="2565" max="2565" width="13.140625" style="71" customWidth="1"/>
    <col min="2566" max="2566" width="13.28515625" style="71" customWidth="1"/>
    <col min="2567" max="2567" width="12.85546875" style="71" customWidth="1"/>
    <col min="2568" max="2568" width="13.85546875" style="71" customWidth="1"/>
    <col min="2569" max="2816" width="9.140625" style="71"/>
    <col min="2817" max="2817" width="13.5703125" style="71" customWidth="1"/>
    <col min="2818" max="2818" width="6.7109375" style="71" customWidth="1"/>
    <col min="2819" max="2819" width="15.85546875" style="71" customWidth="1"/>
    <col min="2820" max="2820" width="13.85546875" style="71" customWidth="1"/>
    <col min="2821" max="2821" width="13.140625" style="71" customWidth="1"/>
    <col min="2822" max="2822" width="13.28515625" style="71" customWidth="1"/>
    <col min="2823" max="2823" width="12.85546875" style="71" customWidth="1"/>
    <col min="2824" max="2824" width="13.85546875" style="71" customWidth="1"/>
    <col min="2825" max="3072" width="9.140625" style="71"/>
    <col min="3073" max="3073" width="13.5703125" style="71" customWidth="1"/>
    <col min="3074" max="3074" width="6.7109375" style="71" customWidth="1"/>
    <col min="3075" max="3075" width="15.85546875" style="71" customWidth="1"/>
    <col min="3076" max="3076" width="13.85546875" style="71" customWidth="1"/>
    <col min="3077" max="3077" width="13.140625" style="71" customWidth="1"/>
    <col min="3078" max="3078" width="13.28515625" style="71" customWidth="1"/>
    <col min="3079" max="3079" width="12.85546875" style="71" customWidth="1"/>
    <col min="3080" max="3080" width="13.85546875" style="71" customWidth="1"/>
    <col min="3081" max="3328" width="9.140625" style="71"/>
    <col min="3329" max="3329" width="13.5703125" style="71" customWidth="1"/>
    <col min="3330" max="3330" width="6.7109375" style="71" customWidth="1"/>
    <col min="3331" max="3331" width="15.85546875" style="71" customWidth="1"/>
    <col min="3332" max="3332" width="13.85546875" style="71" customWidth="1"/>
    <col min="3333" max="3333" width="13.140625" style="71" customWidth="1"/>
    <col min="3334" max="3334" width="13.28515625" style="71" customWidth="1"/>
    <col min="3335" max="3335" width="12.85546875" style="71" customWidth="1"/>
    <col min="3336" max="3336" width="13.85546875" style="71" customWidth="1"/>
    <col min="3337" max="3584" width="9.140625" style="71"/>
    <col min="3585" max="3585" width="13.5703125" style="71" customWidth="1"/>
    <col min="3586" max="3586" width="6.7109375" style="71" customWidth="1"/>
    <col min="3587" max="3587" width="15.85546875" style="71" customWidth="1"/>
    <col min="3588" max="3588" width="13.85546875" style="71" customWidth="1"/>
    <col min="3589" max="3589" width="13.140625" style="71" customWidth="1"/>
    <col min="3590" max="3590" width="13.28515625" style="71" customWidth="1"/>
    <col min="3591" max="3591" width="12.85546875" style="71" customWidth="1"/>
    <col min="3592" max="3592" width="13.85546875" style="71" customWidth="1"/>
    <col min="3593" max="3840" width="9.140625" style="71"/>
    <col min="3841" max="3841" width="13.5703125" style="71" customWidth="1"/>
    <col min="3842" max="3842" width="6.7109375" style="71" customWidth="1"/>
    <col min="3843" max="3843" width="15.85546875" style="71" customWidth="1"/>
    <col min="3844" max="3844" width="13.85546875" style="71" customWidth="1"/>
    <col min="3845" max="3845" width="13.140625" style="71" customWidth="1"/>
    <col min="3846" max="3846" width="13.28515625" style="71" customWidth="1"/>
    <col min="3847" max="3847" width="12.85546875" style="71" customWidth="1"/>
    <col min="3848" max="3848" width="13.85546875" style="71" customWidth="1"/>
    <col min="3849" max="4096" width="9.140625" style="71"/>
    <col min="4097" max="4097" width="13.5703125" style="71" customWidth="1"/>
    <col min="4098" max="4098" width="6.7109375" style="71" customWidth="1"/>
    <col min="4099" max="4099" width="15.85546875" style="71" customWidth="1"/>
    <col min="4100" max="4100" width="13.85546875" style="71" customWidth="1"/>
    <col min="4101" max="4101" width="13.140625" style="71" customWidth="1"/>
    <col min="4102" max="4102" width="13.28515625" style="71" customWidth="1"/>
    <col min="4103" max="4103" width="12.85546875" style="71" customWidth="1"/>
    <col min="4104" max="4104" width="13.85546875" style="71" customWidth="1"/>
    <col min="4105" max="4352" width="9.140625" style="71"/>
    <col min="4353" max="4353" width="13.5703125" style="71" customWidth="1"/>
    <col min="4354" max="4354" width="6.7109375" style="71" customWidth="1"/>
    <col min="4355" max="4355" width="15.85546875" style="71" customWidth="1"/>
    <col min="4356" max="4356" width="13.85546875" style="71" customWidth="1"/>
    <col min="4357" max="4357" width="13.140625" style="71" customWidth="1"/>
    <col min="4358" max="4358" width="13.28515625" style="71" customWidth="1"/>
    <col min="4359" max="4359" width="12.85546875" style="71" customWidth="1"/>
    <col min="4360" max="4360" width="13.85546875" style="71" customWidth="1"/>
    <col min="4361" max="4608" width="9.140625" style="71"/>
    <col min="4609" max="4609" width="13.5703125" style="71" customWidth="1"/>
    <col min="4610" max="4610" width="6.7109375" style="71" customWidth="1"/>
    <col min="4611" max="4611" width="15.85546875" style="71" customWidth="1"/>
    <col min="4612" max="4612" width="13.85546875" style="71" customWidth="1"/>
    <col min="4613" max="4613" width="13.140625" style="71" customWidth="1"/>
    <col min="4614" max="4614" width="13.28515625" style="71" customWidth="1"/>
    <col min="4615" max="4615" width="12.85546875" style="71" customWidth="1"/>
    <col min="4616" max="4616" width="13.85546875" style="71" customWidth="1"/>
    <col min="4617" max="4864" width="9.140625" style="71"/>
    <col min="4865" max="4865" width="13.5703125" style="71" customWidth="1"/>
    <col min="4866" max="4866" width="6.7109375" style="71" customWidth="1"/>
    <col min="4867" max="4867" width="15.85546875" style="71" customWidth="1"/>
    <col min="4868" max="4868" width="13.85546875" style="71" customWidth="1"/>
    <col min="4869" max="4869" width="13.140625" style="71" customWidth="1"/>
    <col min="4870" max="4870" width="13.28515625" style="71" customWidth="1"/>
    <col min="4871" max="4871" width="12.85546875" style="71" customWidth="1"/>
    <col min="4872" max="4872" width="13.85546875" style="71" customWidth="1"/>
    <col min="4873" max="5120" width="9.140625" style="71"/>
    <col min="5121" max="5121" width="13.5703125" style="71" customWidth="1"/>
    <col min="5122" max="5122" width="6.7109375" style="71" customWidth="1"/>
    <col min="5123" max="5123" width="15.85546875" style="71" customWidth="1"/>
    <col min="5124" max="5124" width="13.85546875" style="71" customWidth="1"/>
    <col min="5125" max="5125" width="13.140625" style="71" customWidth="1"/>
    <col min="5126" max="5126" width="13.28515625" style="71" customWidth="1"/>
    <col min="5127" max="5127" width="12.85546875" style="71" customWidth="1"/>
    <col min="5128" max="5128" width="13.85546875" style="71" customWidth="1"/>
    <col min="5129" max="5376" width="9.140625" style="71"/>
    <col min="5377" max="5377" width="13.5703125" style="71" customWidth="1"/>
    <col min="5378" max="5378" width="6.7109375" style="71" customWidth="1"/>
    <col min="5379" max="5379" width="15.85546875" style="71" customWidth="1"/>
    <col min="5380" max="5380" width="13.85546875" style="71" customWidth="1"/>
    <col min="5381" max="5381" width="13.140625" style="71" customWidth="1"/>
    <col min="5382" max="5382" width="13.28515625" style="71" customWidth="1"/>
    <col min="5383" max="5383" width="12.85546875" style="71" customWidth="1"/>
    <col min="5384" max="5384" width="13.85546875" style="71" customWidth="1"/>
    <col min="5385" max="5632" width="9.140625" style="71"/>
    <col min="5633" max="5633" width="13.5703125" style="71" customWidth="1"/>
    <col min="5634" max="5634" width="6.7109375" style="71" customWidth="1"/>
    <col min="5635" max="5635" width="15.85546875" style="71" customWidth="1"/>
    <col min="5636" max="5636" width="13.85546875" style="71" customWidth="1"/>
    <col min="5637" max="5637" width="13.140625" style="71" customWidth="1"/>
    <col min="5638" max="5638" width="13.28515625" style="71" customWidth="1"/>
    <col min="5639" max="5639" width="12.85546875" style="71" customWidth="1"/>
    <col min="5640" max="5640" width="13.85546875" style="71" customWidth="1"/>
    <col min="5641" max="5888" width="9.140625" style="71"/>
    <col min="5889" max="5889" width="13.5703125" style="71" customWidth="1"/>
    <col min="5890" max="5890" width="6.7109375" style="71" customWidth="1"/>
    <col min="5891" max="5891" width="15.85546875" style="71" customWidth="1"/>
    <col min="5892" max="5892" width="13.85546875" style="71" customWidth="1"/>
    <col min="5893" max="5893" width="13.140625" style="71" customWidth="1"/>
    <col min="5894" max="5894" width="13.28515625" style="71" customWidth="1"/>
    <col min="5895" max="5895" width="12.85546875" style="71" customWidth="1"/>
    <col min="5896" max="5896" width="13.85546875" style="71" customWidth="1"/>
    <col min="5897" max="6144" width="9.140625" style="71"/>
    <col min="6145" max="6145" width="13.5703125" style="71" customWidth="1"/>
    <col min="6146" max="6146" width="6.7109375" style="71" customWidth="1"/>
    <col min="6147" max="6147" width="15.85546875" style="71" customWidth="1"/>
    <col min="6148" max="6148" width="13.85546875" style="71" customWidth="1"/>
    <col min="6149" max="6149" width="13.140625" style="71" customWidth="1"/>
    <col min="6150" max="6150" width="13.28515625" style="71" customWidth="1"/>
    <col min="6151" max="6151" width="12.85546875" style="71" customWidth="1"/>
    <col min="6152" max="6152" width="13.85546875" style="71" customWidth="1"/>
    <col min="6153" max="6400" width="9.140625" style="71"/>
    <col min="6401" max="6401" width="13.5703125" style="71" customWidth="1"/>
    <col min="6402" max="6402" width="6.7109375" style="71" customWidth="1"/>
    <col min="6403" max="6403" width="15.85546875" style="71" customWidth="1"/>
    <col min="6404" max="6404" width="13.85546875" style="71" customWidth="1"/>
    <col min="6405" max="6405" width="13.140625" style="71" customWidth="1"/>
    <col min="6406" max="6406" width="13.28515625" style="71" customWidth="1"/>
    <col min="6407" max="6407" width="12.85546875" style="71" customWidth="1"/>
    <col min="6408" max="6408" width="13.85546875" style="71" customWidth="1"/>
    <col min="6409" max="6656" width="9.140625" style="71"/>
    <col min="6657" max="6657" width="13.5703125" style="71" customWidth="1"/>
    <col min="6658" max="6658" width="6.7109375" style="71" customWidth="1"/>
    <col min="6659" max="6659" width="15.85546875" style="71" customWidth="1"/>
    <col min="6660" max="6660" width="13.85546875" style="71" customWidth="1"/>
    <col min="6661" max="6661" width="13.140625" style="71" customWidth="1"/>
    <col min="6662" max="6662" width="13.28515625" style="71" customWidth="1"/>
    <col min="6663" max="6663" width="12.85546875" style="71" customWidth="1"/>
    <col min="6664" max="6664" width="13.85546875" style="71" customWidth="1"/>
    <col min="6665" max="6912" width="9.140625" style="71"/>
    <col min="6913" max="6913" width="13.5703125" style="71" customWidth="1"/>
    <col min="6914" max="6914" width="6.7109375" style="71" customWidth="1"/>
    <col min="6915" max="6915" width="15.85546875" style="71" customWidth="1"/>
    <col min="6916" max="6916" width="13.85546875" style="71" customWidth="1"/>
    <col min="6917" max="6917" width="13.140625" style="71" customWidth="1"/>
    <col min="6918" max="6918" width="13.28515625" style="71" customWidth="1"/>
    <col min="6919" max="6919" width="12.85546875" style="71" customWidth="1"/>
    <col min="6920" max="6920" width="13.85546875" style="71" customWidth="1"/>
    <col min="6921" max="7168" width="9.140625" style="71"/>
    <col min="7169" max="7169" width="13.5703125" style="71" customWidth="1"/>
    <col min="7170" max="7170" width="6.7109375" style="71" customWidth="1"/>
    <col min="7171" max="7171" width="15.85546875" style="71" customWidth="1"/>
    <col min="7172" max="7172" width="13.85546875" style="71" customWidth="1"/>
    <col min="7173" max="7173" width="13.140625" style="71" customWidth="1"/>
    <col min="7174" max="7174" width="13.28515625" style="71" customWidth="1"/>
    <col min="7175" max="7175" width="12.85546875" style="71" customWidth="1"/>
    <col min="7176" max="7176" width="13.85546875" style="71" customWidth="1"/>
    <col min="7177" max="7424" width="9.140625" style="71"/>
    <col min="7425" max="7425" width="13.5703125" style="71" customWidth="1"/>
    <col min="7426" max="7426" width="6.7109375" style="71" customWidth="1"/>
    <col min="7427" max="7427" width="15.85546875" style="71" customWidth="1"/>
    <col min="7428" max="7428" width="13.85546875" style="71" customWidth="1"/>
    <col min="7429" max="7429" width="13.140625" style="71" customWidth="1"/>
    <col min="7430" max="7430" width="13.28515625" style="71" customWidth="1"/>
    <col min="7431" max="7431" width="12.85546875" style="71" customWidth="1"/>
    <col min="7432" max="7432" width="13.85546875" style="71" customWidth="1"/>
    <col min="7433" max="7680" width="9.140625" style="71"/>
    <col min="7681" max="7681" width="13.5703125" style="71" customWidth="1"/>
    <col min="7682" max="7682" width="6.7109375" style="71" customWidth="1"/>
    <col min="7683" max="7683" width="15.85546875" style="71" customWidth="1"/>
    <col min="7684" max="7684" width="13.85546875" style="71" customWidth="1"/>
    <col min="7685" max="7685" width="13.140625" style="71" customWidth="1"/>
    <col min="7686" max="7686" width="13.28515625" style="71" customWidth="1"/>
    <col min="7687" max="7687" width="12.85546875" style="71" customWidth="1"/>
    <col min="7688" max="7688" width="13.85546875" style="71" customWidth="1"/>
    <col min="7689" max="7936" width="9.140625" style="71"/>
    <col min="7937" max="7937" width="13.5703125" style="71" customWidth="1"/>
    <col min="7938" max="7938" width="6.7109375" style="71" customWidth="1"/>
    <col min="7939" max="7939" width="15.85546875" style="71" customWidth="1"/>
    <col min="7940" max="7940" width="13.85546875" style="71" customWidth="1"/>
    <col min="7941" max="7941" width="13.140625" style="71" customWidth="1"/>
    <col min="7942" max="7942" width="13.28515625" style="71" customWidth="1"/>
    <col min="7943" max="7943" width="12.85546875" style="71" customWidth="1"/>
    <col min="7944" max="7944" width="13.85546875" style="71" customWidth="1"/>
    <col min="7945" max="8192" width="9.140625" style="71"/>
    <col min="8193" max="8193" width="13.5703125" style="71" customWidth="1"/>
    <col min="8194" max="8194" width="6.7109375" style="71" customWidth="1"/>
    <col min="8195" max="8195" width="15.85546875" style="71" customWidth="1"/>
    <col min="8196" max="8196" width="13.85546875" style="71" customWidth="1"/>
    <col min="8197" max="8197" width="13.140625" style="71" customWidth="1"/>
    <col min="8198" max="8198" width="13.28515625" style="71" customWidth="1"/>
    <col min="8199" max="8199" width="12.85546875" style="71" customWidth="1"/>
    <col min="8200" max="8200" width="13.85546875" style="71" customWidth="1"/>
    <col min="8201" max="8448" width="9.140625" style="71"/>
    <col min="8449" max="8449" width="13.5703125" style="71" customWidth="1"/>
    <col min="8450" max="8450" width="6.7109375" style="71" customWidth="1"/>
    <col min="8451" max="8451" width="15.85546875" style="71" customWidth="1"/>
    <col min="8452" max="8452" width="13.85546875" style="71" customWidth="1"/>
    <col min="8453" max="8453" width="13.140625" style="71" customWidth="1"/>
    <col min="8454" max="8454" width="13.28515625" style="71" customWidth="1"/>
    <col min="8455" max="8455" width="12.85546875" style="71" customWidth="1"/>
    <col min="8456" max="8456" width="13.85546875" style="71" customWidth="1"/>
    <col min="8457" max="8704" width="9.140625" style="71"/>
    <col min="8705" max="8705" width="13.5703125" style="71" customWidth="1"/>
    <col min="8706" max="8706" width="6.7109375" style="71" customWidth="1"/>
    <col min="8707" max="8707" width="15.85546875" style="71" customWidth="1"/>
    <col min="8708" max="8708" width="13.85546875" style="71" customWidth="1"/>
    <col min="8709" max="8709" width="13.140625" style="71" customWidth="1"/>
    <col min="8710" max="8710" width="13.28515625" style="71" customWidth="1"/>
    <col min="8711" max="8711" width="12.85546875" style="71" customWidth="1"/>
    <col min="8712" max="8712" width="13.85546875" style="71" customWidth="1"/>
    <col min="8713" max="8960" width="9.140625" style="71"/>
    <col min="8961" max="8961" width="13.5703125" style="71" customWidth="1"/>
    <col min="8962" max="8962" width="6.7109375" style="71" customWidth="1"/>
    <col min="8963" max="8963" width="15.85546875" style="71" customWidth="1"/>
    <col min="8964" max="8964" width="13.85546875" style="71" customWidth="1"/>
    <col min="8965" max="8965" width="13.140625" style="71" customWidth="1"/>
    <col min="8966" max="8966" width="13.28515625" style="71" customWidth="1"/>
    <col min="8967" max="8967" width="12.85546875" style="71" customWidth="1"/>
    <col min="8968" max="8968" width="13.85546875" style="71" customWidth="1"/>
    <col min="8969" max="9216" width="9.140625" style="71"/>
    <col min="9217" max="9217" width="13.5703125" style="71" customWidth="1"/>
    <col min="9218" max="9218" width="6.7109375" style="71" customWidth="1"/>
    <col min="9219" max="9219" width="15.85546875" style="71" customWidth="1"/>
    <col min="9220" max="9220" width="13.85546875" style="71" customWidth="1"/>
    <col min="9221" max="9221" width="13.140625" style="71" customWidth="1"/>
    <col min="9222" max="9222" width="13.28515625" style="71" customWidth="1"/>
    <col min="9223" max="9223" width="12.85546875" style="71" customWidth="1"/>
    <col min="9224" max="9224" width="13.85546875" style="71" customWidth="1"/>
    <col min="9225" max="9472" width="9.140625" style="71"/>
    <col min="9473" max="9473" width="13.5703125" style="71" customWidth="1"/>
    <col min="9474" max="9474" width="6.7109375" style="71" customWidth="1"/>
    <col min="9475" max="9475" width="15.85546875" style="71" customWidth="1"/>
    <col min="9476" max="9476" width="13.85546875" style="71" customWidth="1"/>
    <col min="9477" max="9477" width="13.140625" style="71" customWidth="1"/>
    <col min="9478" max="9478" width="13.28515625" style="71" customWidth="1"/>
    <col min="9479" max="9479" width="12.85546875" style="71" customWidth="1"/>
    <col min="9480" max="9480" width="13.85546875" style="71" customWidth="1"/>
    <col min="9481" max="9728" width="9.140625" style="71"/>
    <col min="9729" max="9729" width="13.5703125" style="71" customWidth="1"/>
    <col min="9730" max="9730" width="6.7109375" style="71" customWidth="1"/>
    <col min="9731" max="9731" width="15.85546875" style="71" customWidth="1"/>
    <col min="9732" max="9732" width="13.85546875" style="71" customWidth="1"/>
    <col min="9733" max="9733" width="13.140625" style="71" customWidth="1"/>
    <col min="9734" max="9734" width="13.28515625" style="71" customWidth="1"/>
    <col min="9735" max="9735" width="12.85546875" style="71" customWidth="1"/>
    <col min="9736" max="9736" width="13.85546875" style="71" customWidth="1"/>
    <col min="9737" max="9984" width="9.140625" style="71"/>
    <col min="9985" max="9985" width="13.5703125" style="71" customWidth="1"/>
    <col min="9986" max="9986" width="6.7109375" style="71" customWidth="1"/>
    <col min="9987" max="9987" width="15.85546875" style="71" customWidth="1"/>
    <col min="9988" max="9988" width="13.85546875" style="71" customWidth="1"/>
    <col min="9989" max="9989" width="13.140625" style="71" customWidth="1"/>
    <col min="9990" max="9990" width="13.28515625" style="71" customWidth="1"/>
    <col min="9991" max="9991" width="12.85546875" style="71" customWidth="1"/>
    <col min="9992" max="9992" width="13.85546875" style="71" customWidth="1"/>
    <col min="9993" max="10240" width="9.140625" style="71"/>
    <col min="10241" max="10241" width="13.5703125" style="71" customWidth="1"/>
    <col min="10242" max="10242" width="6.7109375" style="71" customWidth="1"/>
    <col min="10243" max="10243" width="15.85546875" style="71" customWidth="1"/>
    <col min="10244" max="10244" width="13.85546875" style="71" customWidth="1"/>
    <col min="10245" max="10245" width="13.140625" style="71" customWidth="1"/>
    <col min="10246" max="10246" width="13.28515625" style="71" customWidth="1"/>
    <col min="10247" max="10247" width="12.85546875" style="71" customWidth="1"/>
    <col min="10248" max="10248" width="13.85546875" style="71" customWidth="1"/>
    <col min="10249" max="10496" width="9.140625" style="71"/>
    <col min="10497" max="10497" width="13.5703125" style="71" customWidth="1"/>
    <col min="10498" max="10498" width="6.7109375" style="71" customWidth="1"/>
    <col min="10499" max="10499" width="15.85546875" style="71" customWidth="1"/>
    <col min="10500" max="10500" width="13.85546875" style="71" customWidth="1"/>
    <col min="10501" max="10501" width="13.140625" style="71" customWidth="1"/>
    <col min="10502" max="10502" width="13.28515625" style="71" customWidth="1"/>
    <col min="10503" max="10503" width="12.85546875" style="71" customWidth="1"/>
    <col min="10504" max="10504" width="13.85546875" style="71" customWidth="1"/>
    <col min="10505" max="10752" width="9.140625" style="71"/>
    <col min="10753" max="10753" width="13.5703125" style="71" customWidth="1"/>
    <col min="10754" max="10754" width="6.7109375" style="71" customWidth="1"/>
    <col min="10755" max="10755" width="15.85546875" style="71" customWidth="1"/>
    <col min="10756" max="10756" width="13.85546875" style="71" customWidth="1"/>
    <col min="10757" max="10757" width="13.140625" style="71" customWidth="1"/>
    <col min="10758" max="10758" width="13.28515625" style="71" customWidth="1"/>
    <col min="10759" max="10759" width="12.85546875" style="71" customWidth="1"/>
    <col min="10760" max="10760" width="13.85546875" style="71" customWidth="1"/>
    <col min="10761" max="11008" width="9.140625" style="71"/>
    <col min="11009" max="11009" width="13.5703125" style="71" customWidth="1"/>
    <col min="11010" max="11010" width="6.7109375" style="71" customWidth="1"/>
    <col min="11011" max="11011" width="15.85546875" style="71" customWidth="1"/>
    <col min="11012" max="11012" width="13.85546875" style="71" customWidth="1"/>
    <col min="11013" max="11013" width="13.140625" style="71" customWidth="1"/>
    <col min="11014" max="11014" width="13.28515625" style="71" customWidth="1"/>
    <col min="11015" max="11015" width="12.85546875" style="71" customWidth="1"/>
    <col min="11016" max="11016" width="13.85546875" style="71" customWidth="1"/>
    <col min="11017" max="11264" width="9.140625" style="71"/>
    <col min="11265" max="11265" width="13.5703125" style="71" customWidth="1"/>
    <col min="11266" max="11266" width="6.7109375" style="71" customWidth="1"/>
    <col min="11267" max="11267" width="15.85546875" style="71" customWidth="1"/>
    <col min="11268" max="11268" width="13.85546875" style="71" customWidth="1"/>
    <col min="11269" max="11269" width="13.140625" style="71" customWidth="1"/>
    <col min="11270" max="11270" width="13.28515625" style="71" customWidth="1"/>
    <col min="11271" max="11271" width="12.85546875" style="71" customWidth="1"/>
    <col min="11272" max="11272" width="13.85546875" style="71" customWidth="1"/>
    <col min="11273" max="11520" width="9.140625" style="71"/>
    <col min="11521" max="11521" width="13.5703125" style="71" customWidth="1"/>
    <col min="11522" max="11522" width="6.7109375" style="71" customWidth="1"/>
    <col min="11523" max="11523" width="15.85546875" style="71" customWidth="1"/>
    <col min="11524" max="11524" width="13.85546875" style="71" customWidth="1"/>
    <col min="11525" max="11525" width="13.140625" style="71" customWidth="1"/>
    <col min="11526" max="11526" width="13.28515625" style="71" customWidth="1"/>
    <col min="11527" max="11527" width="12.85546875" style="71" customWidth="1"/>
    <col min="11528" max="11528" width="13.85546875" style="71" customWidth="1"/>
    <col min="11529" max="11776" width="9.140625" style="71"/>
    <col min="11777" max="11777" width="13.5703125" style="71" customWidth="1"/>
    <col min="11778" max="11778" width="6.7109375" style="71" customWidth="1"/>
    <col min="11779" max="11779" width="15.85546875" style="71" customWidth="1"/>
    <col min="11780" max="11780" width="13.85546875" style="71" customWidth="1"/>
    <col min="11781" max="11781" width="13.140625" style="71" customWidth="1"/>
    <col min="11782" max="11782" width="13.28515625" style="71" customWidth="1"/>
    <col min="11783" max="11783" width="12.85546875" style="71" customWidth="1"/>
    <col min="11784" max="11784" width="13.85546875" style="71" customWidth="1"/>
    <col min="11785" max="12032" width="9.140625" style="71"/>
    <col min="12033" max="12033" width="13.5703125" style="71" customWidth="1"/>
    <col min="12034" max="12034" width="6.7109375" style="71" customWidth="1"/>
    <col min="12035" max="12035" width="15.85546875" style="71" customWidth="1"/>
    <col min="12036" max="12036" width="13.85546875" style="71" customWidth="1"/>
    <col min="12037" max="12037" width="13.140625" style="71" customWidth="1"/>
    <col min="12038" max="12038" width="13.28515625" style="71" customWidth="1"/>
    <col min="12039" max="12039" width="12.85546875" style="71" customWidth="1"/>
    <col min="12040" max="12040" width="13.85546875" style="71" customWidth="1"/>
    <col min="12041" max="12288" width="9.140625" style="71"/>
    <col min="12289" max="12289" width="13.5703125" style="71" customWidth="1"/>
    <col min="12290" max="12290" width="6.7109375" style="71" customWidth="1"/>
    <col min="12291" max="12291" width="15.85546875" style="71" customWidth="1"/>
    <col min="12292" max="12292" width="13.85546875" style="71" customWidth="1"/>
    <col min="12293" max="12293" width="13.140625" style="71" customWidth="1"/>
    <col min="12294" max="12294" width="13.28515625" style="71" customWidth="1"/>
    <col min="12295" max="12295" width="12.85546875" style="71" customWidth="1"/>
    <col min="12296" max="12296" width="13.85546875" style="71" customWidth="1"/>
    <col min="12297" max="12544" width="9.140625" style="71"/>
    <col min="12545" max="12545" width="13.5703125" style="71" customWidth="1"/>
    <col min="12546" max="12546" width="6.7109375" style="71" customWidth="1"/>
    <col min="12547" max="12547" width="15.85546875" style="71" customWidth="1"/>
    <col min="12548" max="12548" width="13.85546875" style="71" customWidth="1"/>
    <col min="12549" max="12549" width="13.140625" style="71" customWidth="1"/>
    <col min="12550" max="12550" width="13.28515625" style="71" customWidth="1"/>
    <col min="12551" max="12551" width="12.85546875" style="71" customWidth="1"/>
    <col min="12552" max="12552" width="13.85546875" style="71" customWidth="1"/>
    <col min="12553" max="12800" width="9.140625" style="71"/>
    <col min="12801" max="12801" width="13.5703125" style="71" customWidth="1"/>
    <col min="12802" max="12802" width="6.7109375" style="71" customWidth="1"/>
    <col min="12803" max="12803" width="15.85546875" style="71" customWidth="1"/>
    <col min="12804" max="12804" width="13.85546875" style="71" customWidth="1"/>
    <col min="12805" max="12805" width="13.140625" style="71" customWidth="1"/>
    <col min="12806" max="12806" width="13.28515625" style="71" customWidth="1"/>
    <col min="12807" max="12807" width="12.85546875" style="71" customWidth="1"/>
    <col min="12808" max="12808" width="13.85546875" style="71" customWidth="1"/>
    <col min="12809" max="13056" width="9.140625" style="71"/>
    <col min="13057" max="13057" width="13.5703125" style="71" customWidth="1"/>
    <col min="13058" max="13058" width="6.7109375" style="71" customWidth="1"/>
    <col min="13059" max="13059" width="15.85546875" style="71" customWidth="1"/>
    <col min="13060" max="13060" width="13.85546875" style="71" customWidth="1"/>
    <col min="13061" max="13061" width="13.140625" style="71" customWidth="1"/>
    <col min="13062" max="13062" width="13.28515625" style="71" customWidth="1"/>
    <col min="13063" max="13063" width="12.85546875" style="71" customWidth="1"/>
    <col min="13064" max="13064" width="13.85546875" style="71" customWidth="1"/>
    <col min="13065" max="13312" width="9.140625" style="71"/>
    <col min="13313" max="13313" width="13.5703125" style="71" customWidth="1"/>
    <col min="13314" max="13314" width="6.7109375" style="71" customWidth="1"/>
    <col min="13315" max="13315" width="15.85546875" style="71" customWidth="1"/>
    <col min="13316" max="13316" width="13.85546875" style="71" customWidth="1"/>
    <col min="13317" max="13317" width="13.140625" style="71" customWidth="1"/>
    <col min="13318" max="13318" width="13.28515625" style="71" customWidth="1"/>
    <col min="13319" max="13319" width="12.85546875" style="71" customWidth="1"/>
    <col min="13320" max="13320" width="13.85546875" style="71" customWidth="1"/>
    <col min="13321" max="13568" width="9.140625" style="71"/>
    <col min="13569" max="13569" width="13.5703125" style="71" customWidth="1"/>
    <col min="13570" max="13570" width="6.7109375" style="71" customWidth="1"/>
    <col min="13571" max="13571" width="15.85546875" style="71" customWidth="1"/>
    <col min="13572" max="13572" width="13.85546875" style="71" customWidth="1"/>
    <col min="13573" max="13573" width="13.140625" style="71" customWidth="1"/>
    <col min="13574" max="13574" width="13.28515625" style="71" customWidth="1"/>
    <col min="13575" max="13575" width="12.85546875" style="71" customWidth="1"/>
    <col min="13576" max="13576" width="13.85546875" style="71" customWidth="1"/>
    <col min="13577" max="13824" width="9.140625" style="71"/>
    <col min="13825" max="13825" width="13.5703125" style="71" customWidth="1"/>
    <col min="13826" max="13826" width="6.7109375" style="71" customWidth="1"/>
    <col min="13827" max="13827" width="15.85546875" style="71" customWidth="1"/>
    <col min="13828" max="13828" width="13.85546875" style="71" customWidth="1"/>
    <col min="13829" max="13829" width="13.140625" style="71" customWidth="1"/>
    <col min="13830" max="13830" width="13.28515625" style="71" customWidth="1"/>
    <col min="13831" max="13831" width="12.85546875" style="71" customWidth="1"/>
    <col min="13832" max="13832" width="13.85546875" style="71" customWidth="1"/>
    <col min="13833" max="14080" width="9.140625" style="71"/>
    <col min="14081" max="14081" width="13.5703125" style="71" customWidth="1"/>
    <col min="14082" max="14082" width="6.7109375" style="71" customWidth="1"/>
    <col min="14083" max="14083" width="15.85546875" style="71" customWidth="1"/>
    <col min="14084" max="14084" width="13.85546875" style="71" customWidth="1"/>
    <col min="14085" max="14085" width="13.140625" style="71" customWidth="1"/>
    <col min="14086" max="14086" width="13.28515625" style="71" customWidth="1"/>
    <col min="14087" max="14087" width="12.85546875" style="71" customWidth="1"/>
    <col min="14088" max="14088" width="13.85546875" style="71" customWidth="1"/>
    <col min="14089" max="14336" width="9.140625" style="71"/>
    <col min="14337" max="14337" width="13.5703125" style="71" customWidth="1"/>
    <col min="14338" max="14338" width="6.7109375" style="71" customWidth="1"/>
    <col min="14339" max="14339" width="15.85546875" style="71" customWidth="1"/>
    <col min="14340" max="14340" width="13.85546875" style="71" customWidth="1"/>
    <col min="14341" max="14341" width="13.140625" style="71" customWidth="1"/>
    <col min="14342" max="14342" width="13.28515625" style="71" customWidth="1"/>
    <col min="14343" max="14343" width="12.85546875" style="71" customWidth="1"/>
    <col min="14344" max="14344" width="13.85546875" style="71" customWidth="1"/>
    <col min="14345" max="14592" width="9.140625" style="71"/>
    <col min="14593" max="14593" width="13.5703125" style="71" customWidth="1"/>
    <col min="14594" max="14594" width="6.7109375" style="71" customWidth="1"/>
    <col min="14595" max="14595" width="15.85546875" style="71" customWidth="1"/>
    <col min="14596" max="14596" width="13.85546875" style="71" customWidth="1"/>
    <col min="14597" max="14597" width="13.140625" style="71" customWidth="1"/>
    <col min="14598" max="14598" width="13.28515625" style="71" customWidth="1"/>
    <col min="14599" max="14599" width="12.85546875" style="71" customWidth="1"/>
    <col min="14600" max="14600" width="13.85546875" style="71" customWidth="1"/>
    <col min="14601" max="14848" width="9.140625" style="71"/>
    <col min="14849" max="14849" width="13.5703125" style="71" customWidth="1"/>
    <col min="14850" max="14850" width="6.7109375" style="71" customWidth="1"/>
    <col min="14851" max="14851" width="15.85546875" style="71" customWidth="1"/>
    <col min="14852" max="14852" width="13.85546875" style="71" customWidth="1"/>
    <col min="14853" max="14853" width="13.140625" style="71" customWidth="1"/>
    <col min="14854" max="14854" width="13.28515625" style="71" customWidth="1"/>
    <col min="14855" max="14855" width="12.85546875" style="71" customWidth="1"/>
    <col min="14856" max="14856" width="13.85546875" style="71" customWidth="1"/>
    <col min="14857" max="15104" width="9.140625" style="71"/>
    <col min="15105" max="15105" width="13.5703125" style="71" customWidth="1"/>
    <col min="15106" max="15106" width="6.7109375" style="71" customWidth="1"/>
    <col min="15107" max="15107" width="15.85546875" style="71" customWidth="1"/>
    <col min="15108" max="15108" width="13.85546875" style="71" customWidth="1"/>
    <col min="15109" max="15109" width="13.140625" style="71" customWidth="1"/>
    <col min="15110" max="15110" width="13.28515625" style="71" customWidth="1"/>
    <col min="15111" max="15111" width="12.85546875" style="71" customWidth="1"/>
    <col min="15112" max="15112" width="13.85546875" style="71" customWidth="1"/>
    <col min="15113" max="15360" width="9.140625" style="71"/>
    <col min="15361" max="15361" width="13.5703125" style="71" customWidth="1"/>
    <col min="15362" max="15362" width="6.7109375" style="71" customWidth="1"/>
    <col min="15363" max="15363" width="15.85546875" style="71" customWidth="1"/>
    <col min="15364" max="15364" width="13.85546875" style="71" customWidth="1"/>
    <col min="15365" max="15365" width="13.140625" style="71" customWidth="1"/>
    <col min="15366" max="15366" width="13.28515625" style="71" customWidth="1"/>
    <col min="15367" max="15367" width="12.85546875" style="71" customWidth="1"/>
    <col min="15368" max="15368" width="13.85546875" style="71" customWidth="1"/>
    <col min="15369" max="15616" width="9.140625" style="71"/>
    <col min="15617" max="15617" width="13.5703125" style="71" customWidth="1"/>
    <col min="15618" max="15618" width="6.7109375" style="71" customWidth="1"/>
    <col min="15619" max="15619" width="15.85546875" style="71" customWidth="1"/>
    <col min="15620" max="15620" width="13.85546875" style="71" customWidth="1"/>
    <col min="15621" max="15621" width="13.140625" style="71" customWidth="1"/>
    <col min="15622" max="15622" width="13.28515625" style="71" customWidth="1"/>
    <col min="15623" max="15623" width="12.85546875" style="71" customWidth="1"/>
    <col min="15624" max="15624" width="13.85546875" style="71" customWidth="1"/>
    <col min="15625" max="15872" width="9.140625" style="71"/>
    <col min="15873" max="15873" width="13.5703125" style="71" customWidth="1"/>
    <col min="15874" max="15874" width="6.7109375" style="71" customWidth="1"/>
    <col min="15875" max="15875" width="15.85546875" style="71" customWidth="1"/>
    <col min="15876" max="15876" width="13.85546875" style="71" customWidth="1"/>
    <col min="15877" max="15877" width="13.140625" style="71" customWidth="1"/>
    <col min="15878" max="15878" width="13.28515625" style="71" customWidth="1"/>
    <col min="15879" max="15879" width="12.85546875" style="71" customWidth="1"/>
    <col min="15880" max="15880" width="13.85546875" style="71" customWidth="1"/>
    <col min="15881" max="16128" width="9.140625" style="71"/>
    <col min="16129" max="16129" width="13.5703125" style="71" customWidth="1"/>
    <col min="16130" max="16130" width="6.7109375" style="71" customWidth="1"/>
    <col min="16131" max="16131" width="15.85546875" style="71" customWidth="1"/>
    <col min="16132" max="16132" width="13.85546875" style="71" customWidth="1"/>
    <col min="16133" max="16133" width="13.140625" style="71" customWidth="1"/>
    <col min="16134" max="16134" width="13.28515625" style="71" customWidth="1"/>
    <col min="16135" max="16135" width="12.85546875" style="71" customWidth="1"/>
    <col min="16136" max="16136" width="13.85546875" style="71" customWidth="1"/>
    <col min="16137" max="16384" width="9.140625" style="71"/>
  </cols>
  <sheetData>
    <row r="1" spans="1:8" ht="15.75" x14ac:dyDescent="0.25">
      <c r="A1" s="247" t="s">
        <v>114</v>
      </c>
      <c r="B1" s="247"/>
      <c r="C1" s="247"/>
      <c r="D1" s="247"/>
      <c r="E1" s="247"/>
      <c r="F1" s="247"/>
      <c r="G1" s="247"/>
      <c r="H1" s="247"/>
    </row>
    <row r="2" spans="1:8" x14ac:dyDescent="0.2">
      <c r="A2" s="248" t="s">
        <v>115</v>
      </c>
      <c r="B2" s="248"/>
      <c r="C2" s="248"/>
      <c r="D2" s="248"/>
      <c r="E2" s="248"/>
      <c r="F2" s="248"/>
      <c r="G2" s="248"/>
      <c r="H2" s="248"/>
    </row>
    <row r="3" spans="1:8" x14ac:dyDescent="0.2">
      <c r="A3" s="248" t="s">
        <v>116</v>
      </c>
      <c r="B3" s="248"/>
      <c r="C3" s="248"/>
      <c r="D3" s="248"/>
      <c r="E3" s="248"/>
      <c r="F3" s="248"/>
      <c r="G3" s="248"/>
      <c r="H3" s="248"/>
    </row>
    <row r="4" spans="1:8" x14ac:dyDescent="0.2">
      <c r="A4" s="248" t="s">
        <v>117</v>
      </c>
      <c r="B4" s="248"/>
      <c r="C4" s="248"/>
      <c r="D4" s="248"/>
      <c r="E4" s="248"/>
      <c r="F4" s="248"/>
      <c r="G4" s="248"/>
      <c r="H4" s="248"/>
    </row>
    <row r="5" spans="1:8" ht="25.5" x14ac:dyDescent="0.2">
      <c r="A5" s="72" t="s">
        <v>118</v>
      </c>
      <c r="B5" s="72" t="s">
        <v>119</v>
      </c>
      <c r="C5" s="73" t="s">
        <v>31</v>
      </c>
      <c r="D5" s="73" t="s">
        <v>107</v>
      </c>
      <c r="E5" s="72" t="s">
        <v>120</v>
      </c>
      <c r="F5" s="72" t="s">
        <v>121</v>
      </c>
      <c r="G5" s="72" t="s">
        <v>122</v>
      </c>
      <c r="H5" s="72" t="s">
        <v>123</v>
      </c>
    </row>
    <row r="6" spans="1:8" x14ac:dyDescent="0.2">
      <c r="A6" s="74" t="s">
        <v>1</v>
      </c>
      <c r="B6" s="75">
        <v>2009</v>
      </c>
      <c r="C6" s="76">
        <v>5012863</v>
      </c>
      <c r="D6" s="76">
        <v>5012863</v>
      </c>
      <c r="E6" s="76">
        <v>5012863</v>
      </c>
      <c r="F6" s="76">
        <v>0</v>
      </c>
      <c r="G6" s="76">
        <v>1907379.7</v>
      </c>
      <c r="H6" s="77">
        <v>0.38049707322941001</v>
      </c>
    </row>
    <row r="7" spans="1:8" x14ac:dyDescent="0.2">
      <c r="A7" s="74" t="s">
        <v>2</v>
      </c>
      <c r="B7" s="75">
        <v>2009</v>
      </c>
      <c r="C7" s="76">
        <v>6239487</v>
      </c>
      <c r="D7" s="76">
        <v>6239487</v>
      </c>
      <c r="E7" s="76">
        <v>6239487</v>
      </c>
      <c r="F7" s="76">
        <v>0</v>
      </c>
      <c r="G7" s="76">
        <v>2029490.76</v>
      </c>
      <c r="H7" s="77">
        <v>0.32526564443519157</v>
      </c>
    </row>
    <row r="8" spans="1:8" x14ac:dyDescent="0.2">
      <c r="A8" s="74" t="s">
        <v>3</v>
      </c>
      <c r="B8" s="75">
        <v>2009</v>
      </c>
      <c r="C8" s="76">
        <v>4577611</v>
      </c>
      <c r="D8" s="76">
        <v>4577611</v>
      </c>
      <c r="E8" s="76">
        <v>4577611</v>
      </c>
      <c r="F8" s="76">
        <v>0</v>
      </c>
      <c r="G8" s="76">
        <v>2998311</v>
      </c>
      <c r="H8" s="77">
        <v>0.65499471230735862</v>
      </c>
    </row>
    <row r="9" spans="1:8" x14ac:dyDescent="0.2">
      <c r="A9" s="74"/>
      <c r="B9" s="75"/>
      <c r="C9" s="76"/>
      <c r="D9" s="76"/>
      <c r="E9" s="76"/>
      <c r="F9" s="76"/>
      <c r="G9" s="76">
        <f>SUM(G6:G8)</f>
        <v>6935181.46</v>
      </c>
      <c r="H9" s="77"/>
    </row>
    <row r="10" spans="1:8" x14ac:dyDescent="0.2">
      <c r="A10" s="74"/>
      <c r="B10" s="75"/>
      <c r="C10" s="76"/>
      <c r="D10" s="76"/>
      <c r="E10" s="76"/>
      <c r="F10" s="76"/>
      <c r="G10" s="76"/>
      <c r="H10" s="77"/>
    </row>
    <row r="11" spans="1:8" x14ac:dyDescent="0.2">
      <c r="A11" s="74" t="s">
        <v>1</v>
      </c>
      <c r="B11" s="75">
        <v>2010</v>
      </c>
      <c r="C11" s="76">
        <v>12840783</v>
      </c>
      <c r="D11" s="76">
        <v>12840783</v>
      </c>
      <c r="E11" s="76">
        <v>12840783</v>
      </c>
      <c r="F11" s="76">
        <v>0</v>
      </c>
      <c r="G11" s="76">
        <v>3972479.08</v>
      </c>
      <c r="H11" s="77">
        <v>0.30936424048284283</v>
      </c>
    </row>
    <row r="12" spans="1:8" x14ac:dyDescent="0.2">
      <c r="A12" s="74" t="s">
        <v>2</v>
      </c>
      <c r="B12" s="75">
        <v>2010</v>
      </c>
      <c r="C12" s="76">
        <v>14418401</v>
      </c>
      <c r="D12" s="76">
        <v>14418401</v>
      </c>
      <c r="E12" s="76">
        <v>14418401</v>
      </c>
      <c r="F12" s="76">
        <v>0</v>
      </c>
      <c r="G12" s="76">
        <v>5232072.1500000004</v>
      </c>
      <c r="H12" s="77">
        <v>0.36287464539237052</v>
      </c>
    </row>
    <row r="13" spans="1:8" x14ac:dyDescent="0.2">
      <c r="A13" s="74" t="s">
        <v>3</v>
      </c>
      <c r="B13" s="75">
        <v>2010</v>
      </c>
      <c r="C13" s="76">
        <v>8257896</v>
      </c>
      <c r="D13" s="76">
        <v>8257896</v>
      </c>
      <c r="E13" s="76">
        <v>8257896</v>
      </c>
      <c r="F13" s="76">
        <v>0</v>
      </c>
      <c r="G13" s="76">
        <v>3774457</v>
      </c>
      <c r="H13" s="77">
        <v>0.45707247947903434</v>
      </c>
    </row>
    <row r="14" spans="1:8" x14ac:dyDescent="0.2">
      <c r="A14" s="74"/>
      <c r="B14" s="75"/>
      <c r="C14" s="76"/>
      <c r="D14" s="76"/>
      <c r="E14" s="76"/>
      <c r="F14" s="76"/>
      <c r="G14" s="76">
        <f>SUM(G11:G13)</f>
        <v>12979008.23</v>
      </c>
      <c r="H14" s="77"/>
    </row>
    <row r="15" spans="1:8" x14ac:dyDescent="0.2">
      <c r="A15" s="74"/>
      <c r="B15" s="75"/>
      <c r="C15" s="76"/>
      <c r="D15" s="76"/>
      <c r="E15" s="76"/>
      <c r="F15" s="76"/>
      <c r="G15" s="76"/>
      <c r="H15" s="77"/>
    </row>
    <row r="16" spans="1:8" x14ac:dyDescent="0.2">
      <c r="A16" s="74" t="s">
        <v>1</v>
      </c>
      <c r="B16" s="75">
        <v>2011</v>
      </c>
      <c r="C16" s="76">
        <v>16085514</v>
      </c>
      <c r="D16" s="76">
        <v>16085514</v>
      </c>
      <c r="E16" s="76">
        <v>16085514</v>
      </c>
      <c r="F16" s="76">
        <v>0</v>
      </c>
      <c r="G16" s="76">
        <v>5626044.8600000003</v>
      </c>
      <c r="H16" s="77">
        <v>0.34975847585597825</v>
      </c>
    </row>
    <row r="17" spans="1:8" x14ac:dyDescent="0.2">
      <c r="A17" s="74" t="s">
        <v>2</v>
      </c>
      <c r="B17" s="75">
        <v>2011</v>
      </c>
      <c r="C17" s="76">
        <v>14012585</v>
      </c>
      <c r="D17" s="76">
        <v>14621523</v>
      </c>
      <c r="E17" s="76">
        <v>14621523</v>
      </c>
      <c r="F17" s="76">
        <v>0</v>
      </c>
      <c r="G17" s="76">
        <v>8189964.6600000001</v>
      </c>
      <c r="H17" s="77">
        <v>0.56013075108523236</v>
      </c>
    </row>
    <row r="18" spans="1:8" x14ac:dyDescent="0.2">
      <c r="A18" s="74" t="s">
        <v>3</v>
      </c>
      <c r="B18" s="75">
        <v>2011</v>
      </c>
      <c r="C18" s="76">
        <v>8841685</v>
      </c>
      <c r="D18" s="76">
        <v>8841685</v>
      </c>
      <c r="E18" s="76">
        <v>8841685</v>
      </c>
      <c r="F18" s="76">
        <v>0</v>
      </c>
      <c r="G18" s="76">
        <v>5760825</v>
      </c>
      <c r="H18" s="77">
        <v>0.65155284315150341</v>
      </c>
    </row>
    <row r="19" spans="1:8" x14ac:dyDescent="0.2">
      <c r="A19" s="74"/>
      <c r="B19" s="75"/>
      <c r="C19" s="76"/>
      <c r="D19" s="76"/>
      <c r="E19" s="76"/>
      <c r="F19" s="76"/>
      <c r="G19" s="76">
        <f>SUM(G16:G18)</f>
        <v>19576834.52</v>
      </c>
      <c r="H19" s="77"/>
    </row>
    <row r="20" spans="1:8" x14ac:dyDescent="0.2">
      <c r="A20" s="74"/>
      <c r="B20" s="75"/>
      <c r="C20" s="76"/>
      <c r="D20" s="76"/>
      <c r="E20" s="76"/>
      <c r="F20" s="76"/>
      <c r="G20" s="76"/>
      <c r="H20" s="77"/>
    </row>
    <row r="21" spans="1:8" x14ac:dyDescent="0.2">
      <c r="A21" s="74" t="s">
        <v>1</v>
      </c>
      <c r="B21" s="75">
        <v>2012</v>
      </c>
      <c r="C21" s="76">
        <v>4785850</v>
      </c>
      <c r="D21" s="76">
        <v>4771266.54</v>
      </c>
      <c r="E21" s="76">
        <v>4785850</v>
      </c>
      <c r="F21" s="76">
        <v>-14583.46</v>
      </c>
      <c r="G21" s="76">
        <v>12349381.52</v>
      </c>
      <c r="H21" s="77">
        <v>2.5882816263708461</v>
      </c>
    </row>
    <row r="22" spans="1:8" x14ac:dyDescent="0.2">
      <c r="A22" s="74" t="s">
        <v>2</v>
      </c>
      <c r="B22" s="75">
        <v>2012</v>
      </c>
      <c r="C22" s="76">
        <v>5208816</v>
      </c>
      <c r="D22" s="76">
        <v>5208815.76</v>
      </c>
      <c r="E22" s="76">
        <v>5327333</v>
      </c>
      <c r="F22" s="76">
        <v>-118517.24</v>
      </c>
      <c r="G22" s="76">
        <v>7103521.1799999997</v>
      </c>
      <c r="H22" s="77">
        <v>1.3637497479849432</v>
      </c>
    </row>
    <row r="23" spans="1:8" x14ac:dyDescent="0.2">
      <c r="A23" s="74" t="s">
        <v>3</v>
      </c>
      <c r="B23" s="75">
        <v>2012</v>
      </c>
      <c r="C23" s="76">
        <v>2471987</v>
      </c>
      <c r="D23" s="76">
        <v>2471987</v>
      </c>
      <c r="E23" s="76">
        <v>2471987</v>
      </c>
      <c r="F23" s="76">
        <v>0</v>
      </c>
      <c r="G23" s="76">
        <v>6776050</v>
      </c>
      <c r="H23" s="77">
        <v>2.7411349655155952</v>
      </c>
    </row>
    <row r="24" spans="1:8" x14ac:dyDescent="0.2">
      <c r="A24" s="74"/>
      <c r="B24" s="75"/>
      <c r="C24" s="76"/>
      <c r="D24" s="76"/>
      <c r="E24" s="76"/>
      <c r="F24" s="76"/>
      <c r="G24" s="76">
        <f>SUM(G21:G23)</f>
        <v>26228952.699999999</v>
      </c>
      <c r="H24" s="77"/>
    </row>
    <row r="25" spans="1:8" x14ac:dyDescent="0.2">
      <c r="A25" s="74"/>
      <c r="B25" s="75"/>
      <c r="C25" s="76"/>
      <c r="D25" s="76"/>
      <c r="E25" s="76"/>
      <c r="F25" s="76"/>
      <c r="G25" s="76"/>
      <c r="H25" s="77"/>
    </row>
    <row r="26" spans="1:8" x14ac:dyDescent="0.2">
      <c r="A26" s="74" t="s">
        <v>1</v>
      </c>
      <c r="B26" s="75">
        <v>2013</v>
      </c>
      <c r="C26" s="76">
        <v>17305520</v>
      </c>
      <c r="D26" s="76">
        <v>17288131.52</v>
      </c>
      <c r="E26" s="76">
        <v>17305520</v>
      </c>
      <c r="F26" s="76">
        <v>-17388.48</v>
      </c>
      <c r="G26" s="76">
        <v>12767330.439999999</v>
      </c>
      <c r="H26" s="77">
        <v>0.73850262101661757</v>
      </c>
    </row>
    <row r="27" spans="1:8" x14ac:dyDescent="0.2">
      <c r="A27" s="74" t="s">
        <v>2</v>
      </c>
      <c r="B27" s="75">
        <v>2013</v>
      </c>
      <c r="C27" s="76">
        <v>20457995</v>
      </c>
      <c r="D27" s="76">
        <v>19849057.25</v>
      </c>
      <c r="E27" s="76">
        <v>20457995</v>
      </c>
      <c r="F27" s="76">
        <v>-608937.75</v>
      </c>
      <c r="G27" s="76">
        <v>12933507.890000001</v>
      </c>
      <c r="H27" s="77">
        <v>0.65159305689442759</v>
      </c>
    </row>
    <row r="28" spans="1:8" x14ac:dyDescent="0.2">
      <c r="A28" s="74" t="s">
        <v>3</v>
      </c>
      <c r="B28" s="75">
        <v>2013</v>
      </c>
      <c r="C28" s="76">
        <v>14420036</v>
      </c>
      <c r="D28" s="76">
        <v>14420036</v>
      </c>
      <c r="E28" s="76">
        <v>14420036</v>
      </c>
      <c r="F28" s="76">
        <v>0</v>
      </c>
      <c r="G28" s="76">
        <v>6505317</v>
      </c>
      <c r="H28" s="77">
        <v>0.45113042713624291</v>
      </c>
    </row>
    <row r="29" spans="1:8" x14ac:dyDescent="0.2">
      <c r="A29" s="74"/>
      <c r="B29" s="75"/>
      <c r="C29" s="76"/>
      <c r="D29" s="76"/>
      <c r="E29" s="76"/>
      <c r="F29" s="76"/>
      <c r="G29" s="76">
        <f>SUM(G26:G28)</f>
        <v>32206155.329999998</v>
      </c>
      <c r="H29" s="77"/>
    </row>
    <row r="30" spans="1:8" x14ac:dyDescent="0.2">
      <c r="A30" s="74"/>
      <c r="B30" s="75"/>
      <c r="C30" s="76"/>
      <c r="D30" s="76"/>
      <c r="E30" s="76"/>
      <c r="F30" s="76"/>
      <c r="G30" s="76"/>
      <c r="H30" s="77"/>
    </row>
    <row r="31" spans="1:8" x14ac:dyDescent="0.2">
      <c r="A31" s="74" t="s">
        <v>1</v>
      </c>
      <c r="B31" s="75">
        <v>2014</v>
      </c>
      <c r="C31" s="76">
        <v>15354897</v>
      </c>
      <c r="D31" s="76">
        <v>13990647</v>
      </c>
      <c r="E31" s="76">
        <v>13990647</v>
      </c>
      <c r="F31" s="76">
        <v>0</v>
      </c>
      <c r="G31" s="76">
        <v>14192773.289999999</v>
      </c>
      <c r="H31" s="77">
        <v>1.0144472439337509</v>
      </c>
    </row>
    <row r="32" spans="1:8" x14ac:dyDescent="0.2">
      <c r="A32" s="74" t="s">
        <v>2</v>
      </c>
      <c r="B32" s="75">
        <v>2014</v>
      </c>
      <c r="C32" s="76">
        <v>15410803</v>
      </c>
      <c r="D32" s="76">
        <v>13315714.59</v>
      </c>
      <c r="E32" s="76">
        <v>13399203</v>
      </c>
      <c r="F32" s="76">
        <v>-83488.41</v>
      </c>
      <c r="G32" s="76">
        <v>16072602.039999999</v>
      </c>
      <c r="H32" s="77">
        <v>1.2070401427851571</v>
      </c>
    </row>
    <row r="33" spans="1:8" x14ac:dyDescent="0.2">
      <c r="A33" s="74" t="s">
        <v>3</v>
      </c>
      <c r="B33" s="75">
        <v>2014</v>
      </c>
      <c r="C33" s="76">
        <v>7675371</v>
      </c>
      <c r="D33" s="76">
        <v>7054771</v>
      </c>
      <c r="E33" s="76">
        <v>7054771</v>
      </c>
      <c r="F33" s="76">
        <v>0</v>
      </c>
      <c r="G33" s="76">
        <v>9345175</v>
      </c>
      <c r="H33" s="77">
        <v>1.3246602901780937</v>
      </c>
    </row>
    <row r="34" spans="1:8" x14ac:dyDescent="0.2">
      <c r="A34" s="74"/>
      <c r="B34" s="75"/>
      <c r="C34" s="76"/>
      <c r="D34" s="76"/>
      <c r="E34" s="76"/>
      <c r="F34" s="76"/>
      <c r="G34" s="76">
        <f>SUM(G31:G33)</f>
        <v>39610550.329999998</v>
      </c>
      <c r="H34" s="77"/>
    </row>
    <row r="35" spans="1:8" x14ac:dyDescent="0.2">
      <c r="A35" s="74"/>
      <c r="B35" s="75"/>
      <c r="C35" s="76"/>
      <c r="D35" s="76"/>
      <c r="E35" s="76"/>
      <c r="F35" s="76"/>
      <c r="G35" s="76"/>
      <c r="H35" s="77"/>
    </row>
    <row r="36" spans="1:8" x14ac:dyDescent="0.2">
      <c r="A36" s="74" t="s">
        <v>1</v>
      </c>
      <c r="B36" s="75">
        <v>2015</v>
      </c>
      <c r="C36" s="76">
        <v>20129127</v>
      </c>
      <c r="D36" s="76">
        <v>15648866</v>
      </c>
      <c r="E36" s="76">
        <v>15648866</v>
      </c>
      <c r="F36" s="76">
        <v>0</v>
      </c>
      <c r="G36" s="76">
        <v>10864707.449999999</v>
      </c>
      <c r="H36" s="77">
        <v>0.69428081561948318</v>
      </c>
    </row>
    <row r="37" spans="1:8" x14ac:dyDescent="0.2">
      <c r="A37" s="74" t="s">
        <v>2</v>
      </c>
      <c r="B37" s="75">
        <v>2015</v>
      </c>
      <c r="C37" s="76">
        <v>16272392.15</v>
      </c>
      <c r="D37" s="76">
        <v>13421757</v>
      </c>
      <c r="E37" s="76">
        <v>13421757</v>
      </c>
      <c r="F37" s="76">
        <v>0</v>
      </c>
      <c r="G37" s="76">
        <v>7008026.0700000003</v>
      </c>
      <c r="H37" s="77">
        <v>0.52213924525678723</v>
      </c>
    </row>
    <row r="38" spans="1:8" x14ac:dyDescent="0.2">
      <c r="A38" s="74" t="s">
        <v>3</v>
      </c>
      <c r="B38" s="75">
        <v>2015</v>
      </c>
      <c r="C38" s="76">
        <v>10287214</v>
      </c>
      <c r="D38" s="76">
        <v>8942539.9600000009</v>
      </c>
      <c r="E38" s="76">
        <v>9040664</v>
      </c>
      <c r="F38" s="76">
        <v>-98124.04</v>
      </c>
      <c r="G38" s="76">
        <v>8516541.2400000002</v>
      </c>
      <c r="H38" s="77">
        <v>0.95236267079537873</v>
      </c>
    </row>
    <row r="42" spans="1:8" x14ac:dyDescent="0.2">
      <c r="A42" s="71" t="s">
        <v>1</v>
      </c>
      <c r="C42" s="78">
        <f>G6+G11+G16+G21+G26+G31</f>
        <v>50815388.890000001</v>
      </c>
    </row>
    <row r="43" spans="1:8" x14ac:dyDescent="0.2">
      <c r="A43" s="71" t="s">
        <v>2</v>
      </c>
      <c r="C43" s="78">
        <f>G7+G12+G17+G22+G27+G32</f>
        <v>51561158.68</v>
      </c>
    </row>
    <row r="44" spans="1:8" x14ac:dyDescent="0.2">
      <c r="A44" s="71" t="s">
        <v>3</v>
      </c>
      <c r="C44" s="78">
        <f>G8+G13+G18+G23+G28+G33</f>
        <v>35160135</v>
      </c>
    </row>
    <row r="45" spans="1:8" x14ac:dyDescent="0.2">
      <c r="C45" s="78">
        <f>SUM(C42:C44)</f>
        <v>137536682.56999999</v>
      </c>
    </row>
  </sheetData>
  <mergeCells count="4">
    <mergeCell ref="A1:H1"/>
    <mergeCell ref="A2:H2"/>
    <mergeCell ref="A3:H3"/>
    <mergeCell ref="A4:H4"/>
  </mergeCells>
  <pageMargins left="0.75" right="0.75" top="1" bottom="1" header="0.5" footer="0.5"/>
  <pageSetup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pane ySplit="5" topLeftCell="A6" activePane="bottomLeft" state="frozen"/>
      <selection pane="bottomLeft" activeCell="G36" sqref="G36"/>
    </sheetView>
  </sheetViews>
  <sheetFormatPr defaultRowHeight="12.75" x14ac:dyDescent="0.2"/>
  <cols>
    <col min="1" max="1" width="9.140625" style="71"/>
    <col min="2" max="2" width="22.140625" style="71" customWidth="1"/>
    <col min="3" max="3" width="9.140625" style="71"/>
    <col min="4" max="4" width="14" style="71" customWidth="1"/>
    <col min="5" max="5" width="12.5703125" style="71" customWidth="1"/>
    <col min="6" max="6" width="13.140625" style="71" customWidth="1"/>
    <col min="7" max="7" width="9.140625" style="71"/>
    <col min="8" max="8" width="12.85546875" style="71" customWidth="1"/>
    <col min="9" max="16384" width="9.140625" style="71"/>
  </cols>
  <sheetData>
    <row r="1" spans="1:9" ht="15.75" x14ac:dyDescent="0.25">
      <c r="A1" s="249" t="s">
        <v>114</v>
      </c>
      <c r="B1" s="249"/>
      <c r="C1" s="249"/>
      <c r="D1" s="249"/>
      <c r="E1" s="249"/>
      <c r="F1" s="249"/>
      <c r="G1" s="249"/>
      <c r="H1" s="249"/>
      <c r="I1" s="249"/>
    </row>
    <row r="2" spans="1:9" x14ac:dyDescent="0.2">
      <c r="A2" s="248" t="s">
        <v>115</v>
      </c>
      <c r="B2" s="248"/>
      <c r="C2" s="248"/>
      <c r="D2" s="248"/>
      <c r="E2" s="248"/>
      <c r="F2" s="248"/>
      <c r="G2" s="248"/>
      <c r="H2" s="248"/>
      <c r="I2" s="248"/>
    </row>
    <row r="3" spans="1:9" x14ac:dyDescent="0.2">
      <c r="A3" s="248" t="s">
        <v>116</v>
      </c>
      <c r="B3" s="248"/>
      <c r="C3" s="248"/>
      <c r="D3" s="248"/>
      <c r="E3" s="248"/>
      <c r="F3" s="248"/>
      <c r="G3" s="248"/>
      <c r="H3" s="248"/>
      <c r="I3" s="248"/>
    </row>
    <row r="4" spans="1:9" x14ac:dyDescent="0.2">
      <c r="A4" s="248" t="s">
        <v>128</v>
      </c>
      <c r="B4" s="248"/>
      <c r="C4" s="248"/>
      <c r="D4" s="248"/>
      <c r="E4" s="248"/>
      <c r="F4" s="248"/>
      <c r="G4" s="248"/>
      <c r="H4" s="248"/>
      <c r="I4" s="248"/>
    </row>
    <row r="5" spans="1:9" ht="25.5" x14ac:dyDescent="0.2">
      <c r="A5" s="85" t="s">
        <v>118</v>
      </c>
      <c r="B5" s="85" t="s">
        <v>127</v>
      </c>
      <c r="C5" s="85" t="s">
        <v>119</v>
      </c>
      <c r="D5" s="84" t="s">
        <v>31</v>
      </c>
      <c r="E5" s="84" t="s">
        <v>107</v>
      </c>
      <c r="F5" s="85" t="s">
        <v>120</v>
      </c>
      <c r="G5" s="85" t="s">
        <v>121</v>
      </c>
      <c r="H5" s="85" t="s">
        <v>122</v>
      </c>
      <c r="I5" s="84" t="s">
        <v>123</v>
      </c>
    </row>
    <row r="6" spans="1:9" x14ac:dyDescent="0.2">
      <c r="A6" s="83" t="s">
        <v>1</v>
      </c>
      <c r="B6" s="83" t="s">
        <v>126</v>
      </c>
      <c r="C6" s="82">
        <v>2011</v>
      </c>
      <c r="D6" s="81">
        <v>9036867</v>
      </c>
      <c r="E6" s="81">
        <v>9036867</v>
      </c>
      <c r="F6" s="81">
        <v>9036867</v>
      </c>
      <c r="G6" s="81">
        <v>0</v>
      </c>
      <c r="H6" s="81">
        <v>670387.68999999994</v>
      </c>
      <c r="I6" s="80">
        <v>7.4183640193000513E-2</v>
      </c>
    </row>
    <row r="7" spans="1:9" x14ac:dyDescent="0.2">
      <c r="A7" s="83" t="s">
        <v>2</v>
      </c>
      <c r="B7" s="83" t="s">
        <v>125</v>
      </c>
      <c r="C7" s="82">
        <v>2011</v>
      </c>
      <c r="D7" s="81">
        <v>8474033</v>
      </c>
      <c r="E7" s="81">
        <v>8474033</v>
      </c>
      <c r="F7" s="81">
        <v>8474033</v>
      </c>
      <c r="G7" s="81">
        <v>0</v>
      </c>
      <c r="H7" s="81">
        <v>0</v>
      </c>
      <c r="I7" s="80">
        <v>0</v>
      </c>
    </row>
    <row r="8" spans="1:9" x14ac:dyDescent="0.2">
      <c r="A8" s="83" t="s">
        <v>3</v>
      </c>
      <c r="B8" s="83" t="s">
        <v>124</v>
      </c>
      <c r="C8" s="82">
        <v>2011</v>
      </c>
      <c r="D8" s="81">
        <v>6675081</v>
      </c>
      <c r="E8" s="81">
        <v>6675081</v>
      </c>
      <c r="F8" s="81">
        <v>6675081</v>
      </c>
      <c r="G8" s="81">
        <v>0</v>
      </c>
      <c r="H8" s="81">
        <v>163404</v>
      </c>
      <c r="I8" s="80">
        <v>2.447970294293058E-2</v>
      </c>
    </row>
    <row r="9" spans="1:9" x14ac:dyDescent="0.2">
      <c r="A9" s="83"/>
      <c r="B9" s="83"/>
      <c r="C9" s="82"/>
      <c r="D9" s="81">
        <f>SUM(D6:D8)</f>
        <v>24185981</v>
      </c>
      <c r="E9" s="81"/>
      <c r="F9" s="81"/>
      <c r="G9" s="81"/>
      <c r="H9" s="81">
        <f>SUM(H6:H8)</f>
        <v>833791.69</v>
      </c>
      <c r="I9" s="80"/>
    </row>
    <row r="10" spans="1:9" x14ac:dyDescent="0.2">
      <c r="A10" s="83"/>
      <c r="B10" s="83"/>
      <c r="C10" s="82"/>
      <c r="D10" s="81"/>
      <c r="E10" s="81"/>
      <c r="F10" s="81"/>
      <c r="G10" s="81"/>
      <c r="H10" s="81"/>
      <c r="I10" s="80"/>
    </row>
    <row r="11" spans="1:9" x14ac:dyDescent="0.2">
      <c r="A11" s="83" t="s">
        <v>1</v>
      </c>
      <c r="B11" s="83" t="s">
        <v>126</v>
      </c>
      <c r="C11" s="82">
        <v>2012</v>
      </c>
      <c r="D11" s="81">
        <v>245426</v>
      </c>
      <c r="E11" s="81">
        <v>245426</v>
      </c>
      <c r="F11" s="81">
        <v>245426</v>
      </c>
      <c r="G11" s="81">
        <v>0</v>
      </c>
      <c r="H11" s="81">
        <v>7330013.75</v>
      </c>
      <c r="I11" s="80">
        <v>29.866492343924442</v>
      </c>
    </row>
    <row r="12" spans="1:9" x14ac:dyDescent="0.2">
      <c r="A12" s="83" t="s">
        <v>2</v>
      </c>
      <c r="B12" s="83" t="s">
        <v>125</v>
      </c>
      <c r="C12" s="82">
        <v>2012</v>
      </c>
      <c r="D12" s="81">
        <v>425522</v>
      </c>
      <c r="E12" s="81">
        <v>425522</v>
      </c>
      <c r="F12" s="81">
        <v>425522</v>
      </c>
      <c r="G12" s="81">
        <v>0</v>
      </c>
      <c r="H12" s="81">
        <v>5152441.01</v>
      </c>
      <c r="I12" s="80">
        <v>12.108518501981095</v>
      </c>
    </row>
    <row r="13" spans="1:9" x14ac:dyDescent="0.2">
      <c r="A13" s="83" t="s">
        <v>3</v>
      </c>
      <c r="B13" s="83" t="s">
        <v>124</v>
      </c>
      <c r="C13" s="82">
        <v>2012</v>
      </c>
      <c r="D13" s="81">
        <v>769617</v>
      </c>
      <c r="E13" s="81">
        <v>769617</v>
      </c>
      <c r="F13" s="81">
        <v>769617</v>
      </c>
      <c r="G13" s="81">
        <v>0</v>
      </c>
      <c r="H13" s="81">
        <v>5451920</v>
      </c>
      <c r="I13" s="80">
        <v>7.0839391541507011</v>
      </c>
    </row>
    <row r="14" spans="1:9" x14ac:dyDescent="0.2">
      <c r="A14" s="83"/>
      <c r="B14" s="83"/>
      <c r="C14" s="82"/>
      <c r="D14" s="81">
        <f>SUM(D11:D13)</f>
        <v>1440565</v>
      </c>
      <c r="E14" s="81"/>
      <c r="F14" s="81"/>
      <c r="G14" s="81"/>
      <c r="H14" s="81">
        <f>SUM(H11:H13)</f>
        <v>17934374.759999998</v>
      </c>
      <c r="I14" s="80"/>
    </row>
    <row r="15" spans="1:9" x14ac:dyDescent="0.2">
      <c r="A15" s="83"/>
      <c r="B15" s="83"/>
      <c r="C15" s="82"/>
      <c r="D15" s="81"/>
      <c r="E15" s="81"/>
      <c r="F15" s="81"/>
      <c r="G15" s="81"/>
      <c r="H15" s="81"/>
      <c r="I15" s="80"/>
    </row>
    <row r="16" spans="1:9" x14ac:dyDescent="0.2">
      <c r="A16" s="83" t="s">
        <v>1</v>
      </c>
      <c r="B16" s="83" t="s">
        <v>126</v>
      </c>
      <c r="C16" s="82">
        <v>2013</v>
      </c>
      <c r="D16" s="81">
        <v>14535067</v>
      </c>
      <c r="E16" s="81">
        <v>14535067</v>
      </c>
      <c r="F16" s="81">
        <v>14535067</v>
      </c>
      <c r="G16" s="81">
        <v>0</v>
      </c>
      <c r="H16" s="81">
        <v>6659468.54</v>
      </c>
      <c r="I16" s="80">
        <v>0.4581656582663155</v>
      </c>
    </row>
    <row r="17" spans="1:9" x14ac:dyDescent="0.2">
      <c r="A17" s="83" t="s">
        <v>2</v>
      </c>
      <c r="B17" s="83" t="s">
        <v>125</v>
      </c>
      <c r="C17" s="82">
        <v>2013</v>
      </c>
      <c r="D17" s="81">
        <v>18837214</v>
      </c>
      <c r="E17" s="81">
        <v>18837214</v>
      </c>
      <c r="F17" s="81">
        <v>18837214</v>
      </c>
      <c r="G17" s="81">
        <v>0</v>
      </c>
      <c r="H17" s="81">
        <v>6208664.04</v>
      </c>
      <c r="I17" s="80">
        <v>0.32959566313787164</v>
      </c>
    </row>
    <row r="18" spans="1:9" x14ac:dyDescent="0.2">
      <c r="A18" s="83" t="s">
        <v>3</v>
      </c>
      <c r="B18" s="83" t="s">
        <v>124</v>
      </c>
      <c r="C18" s="82">
        <v>2013</v>
      </c>
      <c r="D18" s="81">
        <v>13782791</v>
      </c>
      <c r="E18" s="81">
        <v>13782791</v>
      </c>
      <c r="F18" s="81">
        <v>13782791</v>
      </c>
      <c r="G18" s="81">
        <v>0</v>
      </c>
      <c r="H18" s="81">
        <v>5740190</v>
      </c>
      <c r="I18" s="80">
        <v>0.41647515368984411</v>
      </c>
    </row>
    <row r="19" spans="1:9" x14ac:dyDescent="0.2">
      <c r="A19" s="83"/>
      <c r="B19" s="83"/>
      <c r="C19" s="82"/>
      <c r="D19" s="81">
        <f>SUM(D16:D18)</f>
        <v>47155072</v>
      </c>
      <c r="E19" s="81"/>
      <c r="F19" s="81"/>
      <c r="G19" s="81"/>
      <c r="H19" s="81">
        <f>SUM(H16:H18)</f>
        <v>18608322.579999998</v>
      </c>
      <c r="I19" s="80"/>
    </row>
    <row r="20" spans="1:9" x14ac:dyDescent="0.2">
      <c r="A20" s="83"/>
      <c r="B20" s="83"/>
      <c r="C20" s="82"/>
      <c r="D20" s="81"/>
      <c r="E20" s="81"/>
      <c r="F20" s="81"/>
      <c r="G20" s="81"/>
      <c r="H20" s="81"/>
      <c r="I20" s="80"/>
    </row>
    <row r="21" spans="1:9" x14ac:dyDescent="0.2">
      <c r="A21" s="83" t="s">
        <v>1</v>
      </c>
      <c r="B21" s="83" t="s">
        <v>126</v>
      </c>
      <c r="C21" s="82">
        <v>2014</v>
      </c>
      <c r="D21" s="81">
        <v>10013210</v>
      </c>
      <c r="E21" s="81">
        <v>10013210</v>
      </c>
      <c r="F21" s="81">
        <v>10013210</v>
      </c>
      <c r="G21" s="81">
        <v>0</v>
      </c>
      <c r="H21" s="81">
        <v>9571533.5399999991</v>
      </c>
      <c r="I21" s="80">
        <v>0.95589062248769363</v>
      </c>
    </row>
    <row r="22" spans="1:9" x14ac:dyDescent="0.2">
      <c r="A22" s="83" t="s">
        <v>2</v>
      </c>
      <c r="B22" s="83" t="s">
        <v>125</v>
      </c>
      <c r="C22" s="82">
        <v>2014</v>
      </c>
      <c r="D22" s="81">
        <v>8878741</v>
      </c>
      <c r="E22" s="81">
        <v>8878741</v>
      </c>
      <c r="F22" s="81">
        <v>8878741</v>
      </c>
      <c r="G22" s="81">
        <v>0</v>
      </c>
      <c r="H22" s="81">
        <v>10659007.140000001</v>
      </c>
      <c r="I22" s="80">
        <v>1.2005088491712959</v>
      </c>
    </row>
    <row r="23" spans="1:9" x14ac:dyDescent="0.2">
      <c r="A23" s="83" t="s">
        <v>3</v>
      </c>
      <c r="B23" s="83" t="s">
        <v>124</v>
      </c>
      <c r="C23" s="82">
        <v>2014</v>
      </c>
      <c r="D23" s="81">
        <v>5834027</v>
      </c>
      <c r="E23" s="81">
        <v>5834027</v>
      </c>
      <c r="F23" s="81">
        <v>5834027</v>
      </c>
      <c r="G23" s="81">
        <v>0</v>
      </c>
      <c r="H23" s="81">
        <v>8573795</v>
      </c>
      <c r="I23" s="80">
        <v>1.4696186699170231</v>
      </c>
    </row>
    <row r="24" spans="1:9" x14ac:dyDescent="0.2">
      <c r="A24" s="83"/>
      <c r="B24" s="83"/>
      <c r="C24" s="82"/>
      <c r="D24" s="81">
        <f>SUM(D21:D23)</f>
        <v>24725978</v>
      </c>
      <c r="E24" s="81"/>
      <c r="F24" s="81"/>
      <c r="G24" s="81"/>
      <c r="H24" s="81">
        <f>SUM(H21:H23)</f>
        <v>28804335.68</v>
      </c>
      <c r="I24" s="80"/>
    </row>
    <row r="25" spans="1:9" x14ac:dyDescent="0.2">
      <c r="A25" s="83"/>
      <c r="B25" s="83"/>
      <c r="C25" s="82"/>
      <c r="D25" s="81"/>
      <c r="E25" s="81"/>
      <c r="F25" s="81"/>
      <c r="G25" s="81"/>
      <c r="H25" s="81"/>
      <c r="I25" s="80"/>
    </row>
    <row r="26" spans="1:9" x14ac:dyDescent="0.2">
      <c r="A26" s="83" t="s">
        <v>1</v>
      </c>
      <c r="B26" s="83" t="s">
        <v>126</v>
      </c>
      <c r="C26" s="82">
        <v>2015</v>
      </c>
      <c r="D26" s="81">
        <v>12106632</v>
      </c>
      <c r="E26" s="81">
        <v>12106632</v>
      </c>
      <c r="F26" s="81">
        <v>12106632</v>
      </c>
      <c r="G26" s="81">
        <v>0</v>
      </c>
      <c r="H26" s="81">
        <v>7624481.1500000004</v>
      </c>
      <c r="I26" s="80">
        <v>0.629777228712329</v>
      </c>
    </row>
    <row r="27" spans="1:9" x14ac:dyDescent="0.2">
      <c r="A27" s="83" t="s">
        <v>2</v>
      </c>
      <c r="B27" s="83" t="s">
        <v>125</v>
      </c>
      <c r="C27" s="82">
        <v>2015</v>
      </c>
      <c r="D27" s="81">
        <v>10882647</v>
      </c>
      <c r="E27" s="81">
        <v>10882647</v>
      </c>
      <c r="F27" s="81">
        <v>10882647</v>
      </c>
      <c r="G27" s="81">
        <v>0</v>
      </c>
      <c r="H27" s="81">
        <v>5239863.8099999996</v>
      </c>
      <c r="I27" s="80">
        <v>0.48148798817052502</v>
      </c>
    </row>
    <row r="28" spans="1:9" x14ac:dyDescent="0.2">
      <c r="A28" s="83" t="s">
        <v>3</v>
      </c>
      <c r="B28" s="83" t="s">
        <v>124</v>
      </c>
      <c r="C28" s="82">
        <v>2015</v>
      </c>
      <c r="D28" s="81">
        <v>8398664</v>
      </c>
      <c r="E28" s="81">
        <v>8398664</v>
      </c>
      <c r="F28" s="81">
        <v>8398664</v>
      </c>
      <c r="G28" s="81">
        <v>0</v>
      </c>
      <c r="H28" s="81">
        <v>6421812.25</v>
      </c>
      <c r="I28" s="80">
        <v>0.76462306981205586</v>
      </c>
    </row>
    <row r="29" spans="1:9" x14ac:dyDescent="0.2">
      <c r="D29" s="79">
        <f>SUM(D26:D28)</f>
        <v>31387943</v>
      </c>
      <c r="H29" s="79"/>
    </row>
    <row r="31" spans="1:9" x14ac:dyDescent="0.2">
      <c r="D31" s="78"/>
    </row>
  </sheetData>
  <mergeCells count="4">
    <mergeCell ref="A1:I1"/>
    <mergeCell ref="A2:I2"/>
    <mergeCell ref="A3:I3"/>
    <mergeCell ref="A4:I4"/>
  </mergeCell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topLeftCell="A19" workbookViewId="0">
      <selection activeCell="I14" sqref="I14"/>
    </sheetView>
  </sheetViews>
  <sheetFormatPr defaultRowHeight="15" x14ac:dyDescent="0.25"/>
  <cols>
    <col min="1" max="1" width="43.5703125" customWidth="1"/>
    <col min="2" max="2" width="16.85546875" customWidth="1"/>
    <col min="3" max="3" width="17.5703125" customWidth="1"/>
    <col min="4" max="4" width="15.140625" customWidth="1"/>
  </cols>
  <sheetData>
    <row r="1" spans="1:4" x14ac:dyDescent="0.25">
      <c r="A1" s="17" t="s">
        <v>175</v>
      </c>
    </row>
    <row r="2" spans="1:4" x14ac:dyDescent="0.25">
      <c r="A2" s="152" t="s">
        <v>169</v>
      </c>
      <c r="B2" s="152" t="s">
        <v>170</v>
      </c>
      <c r="C2" s="152" t="s">
        <v>171</v>
      </c>
      <c r="D2" s="181" t="s">
        <v>27</v>
      </c>
    </row>
    <row r="3" spans="1:4" x14ac:dyDescent="0.25">
      <c r="A3" s="179"/>
      <c r="B3" s="179"/>
      <c r="C3" s="179"/>
      <c r="D3" s="179"/>
    </row>
    <row r="4" spans="1:4" x14ac:dyDescent="0.25">
      <c r="A4" s="179"/>
      <c r="B4" s="179"/>
      <c r="C4" s="179"/>
      <c r="D4" s="179"/>
    </row>
    <row r="5" spans="1:4" x14ac:dyDescent="0.25">
      <c r="A5" s="179"/>
      <c r="B5" s="179"/>
      <c r="C5" s="179"/>
      <c r="D5" s="179"/>
    </row>
    <row r="6" spans="1:4" x14ac:dyDescent="0.25">
      <c r="A6" s="179"/>
      <c r="B6" s="179"/>
      <c r="C6" s="179"/>
      <c r="D6" s="179"/>
    </row>
    <row r="7" spans="1:4" x14ac:dyDescent="0.25">
      <c r="A7" s="179"/>
      <c r="B7" s="179"/>
      <c r="C7" s="179"/>
      <c r="D7" s="179"/>
    </row>
    <row r="8" spans="1:4" x14ac:dyDescent="0.25">
      <c r="A8" s="179"/>
      <c r="B8" s="179"/>
      <c r="C8" s="179"/>
      <c r="D8" s="179"/>
    </row>
    <row r="9" spans="1:4" x14ac:dyDescent="0.25">
      <c r="A9" s="179"/>
      <c r="B9" s="179"/>
      <c r="C9" s="179"/>
      <c r="D9" s="179"/>
    </row>
    <row r="10" spans="1:4" x14ac:dyDescent="0.25">
      <c r="A10" s="179"/>
      <c r="B10" s="179"/>
      <c r="C10" s="179"/>
      <c r="D10" s="179"/>
    </row>
    <row r="11" spans="1:4" x14ac:dyDescent="0.25">
      <c r="A11" s="179"/>
      <c r="B11" s="179"/>
      <c r="C11" s="179"/>
      <c r="D11" s="179"/>
    </row>
    <row r="12" spans="1:4" x14ac:dyDescent="0.25">
      <c r="A12" s="179"/>
      <c r="B12" s="179"/>
      <c r="C12" s="179"/>
      <c r="D12" s="179"/>
    </row>
    <row r="13" spans="1:4" x14ac:dyDescent="0.25">
      <c r="A13" s="179"/>
      <c r="B13" s="179"/>
      <c r="C13" s="179"/>
      <c r="D13" s="179"/>
    </row>
    <row r="14" spans="1:4" x14ac:dyDescent="0.25">
      <c r="A14" s="179"/>
      <c r="B14" s="179"/>
      <c r="C14" s="179"/>
      <c r="D14" s="179"/>
    </row>
    <row r="15" spans="1:4" x14ac:dyDescent="0.25">
      <c r="A15" s="179"/>
      <c r="B15" s="179"/>
      <c r="C15" s="179"/>
      <c r="D15" s="179"/>
    </row>
    <row r="16" spans="1:4" x14ac:dyDescent="0.25">
      <c r="A16" s="179"/>
      <c r="B16" s="179"/>
      <c r="C16" s="179"/>
      <c r="D16" s="179"/>
    </row>
    <row r="17" spans="1:4" x14ac:dyDescent="0.25">
      <c r="A17" s="179"/>
      <c r="B17" s="179"/>
      <c r="C17" s="179"/>
      <c r="D17" s="179"/>
    </row>
    <row r="18" spans="1:4" x14ac:dyDescent="0.25">
      <c r="A18" s="179"/>
      <c r="B18" s="179"/>
      <c r="C18" s="179"/>
      <c r="D18" s="179"/>
    </row>
    <row r="19" spans="1:4" x14ac:dyDescent="0.25">
      <c r="A19" s="179"/>
      <c r="B19" s="179"/>
      <c r="C19" s="179"/>
      <c r="D19" s="179"/>
    </row>
    <row r="20" spans="1:4" x14ac:dyDescent="0.25">
      <c r="A20" s="179"/>
      <c r="B20" s="179"/>
      <c r="C20" s="179"/>
      <c r="D20" s="179"/>
    </row>
    <row r="21" spans="1:4" x14ac:dyDescent="0.25">
      <c r="A21" s="179"/>
      <c r="B21" s="179"/>
      <c r="C21" s="179"/>
      <c r="D21" s="179"/>
    </row>
    <row r="22" spans="1:4" x14ac:dyDescent="0.25">
      <c r="A22" s="179"/>
      <c r="B22" s="179"/>
      <c r="C22" s="179"/>
      <c r="D22" s="179"/>
    </row>
    <row r="23" spans="1:4" x14ac:dyDescent="0.25">
      <c r="A23" s="179"/>
      <c r="B23" s="179"/>
      <c r="C23" s="179"/>
      <c r="D23" s="179"/>
    </row>
    <row r="24" spans="1:4" x14ac:dyDescent="0.25">
      <c r="A24" s="179"/>
      <c r="B24" s="179"/>
      <c r="C24" s="179"/>
      <c r="D24" s="179"/>
    </row>
    <row r="25" spans="1:4" x14ac:dyDescent="0.25">
      <c r="A25" s="179"/>
      <c r="B25" s="179"/>
      <c r="C25" s="179"/>
      <c r="D25" s="179"/>
    </row>
    <row r="26" spans="1:4" x14ac:dyDescent="0.25">
      <c r="A26" s="179"/>
      <c r="B26" s="179"/>
      <c r="C26" s="179"/>
      <c r="D26" s="179"/>
    </row>
    <row r="27" spans="1:4" x14ac:dyDescent="0.25">
      <c r="A27" s="179"/>
      <c r="B27" s="179"/>
      <c r="C27" s="179"/>
      <c r="D27" s="179"/>
    </row>
    <row r="28" spans="1:4" x14ac:dyDescent="0.25">
      <c r="A28" s="179"/>
      <c r="B28" s="179"/>
      <c r="C28" s="179"/>
      <c r="D28" s="179"/>
    </row>
    <row r="29" spans="1:4" x14ac:dyDescent="0.25">
      <c r="A29" s="179"/>
      <c r="B29" s="179"/>
      <c r="C29" s="179"/>
      <c r="D29" s="179"/>
    </row>
    <row r="30" spans="1:4" x14ac:dyDescent="0.25">
      <c r="A30" s="179"/>
      <c r="B30" s="179"/>
      <c r="C30" s="179"/>
      <c r="D30" s="179"/>
    </row>
    <row r="31" spans="1:4" x14ac:dyDescent="0.25">
      <c r="A31" s="179"/>
      <c r="B31" s="179"/>
      <c r="C31" s="179"/>
      <c r="D31" s="179"/>
    </row>
    <row r="32" spans="1:4" x14ac:dyDescent="0.25">
      <c r="A32" s="179"/>
      <c r="B32" s="179"/>
      <c r="C32" s="179"/>
      <c r="D32" s="179"/>
    </row>
    <row r="33" spans="1:4" x14ac:dyDescent="0.25">
      <c r="A33" s="179"/>
      <c r="B33" s="179"/>
      <c r="C33" s="179"/>
      <c r="D33" s="179"/>
    </row>
    <row r="34" spans="1:4" x14ac:dyDescent="0.25">
      <c r="A34" s="179"/>
      <c r="B34" s="179"/>
      <c r="C34" s="179"/>
      <c r="D34" s="179"/>
    </row>
    <row r="35" spans="1:4" x14ac:dyDescent="0.25">
      <c r="A35" s="179" t="s">
        <v>27</v>
      </c>
      <c r="B35" s="179"/>
      <c r="C35" s="179"/>
      <c r="D35" s="17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UNEP unrecorded commitmts</vt:lpstr>
      <vt:lpstr>Guidelines for completion</vt:lpstr>
      <vt:lpstr>Consl Fin Report 31 Dec 2015</vt:lpstr>
      <vt:lpstr>Sheet3</vt:lpstr>
      <vt:lpstr>Sheet4 (2)</vt:lpstr>
      <vt:lpstr>Sheet1 (3)</vt:lpstr>
      <vt:lpstr>Sheet1 (4)</vt:lpstr>
      <vt:lpstr>Prog &amp; fin commitment List</vt:lpstr>
      <vt:lpstr>'Consl Fin Report 31 Dec 2015'!Print_Area</vt:lpstr>
      <vt:lpstr>'Consl Fin Report 31 Dec 2015'!Print_Titles</vt:lpstr>
    </vt:vector>
  </TitlesOfParts>
  <Company>UNDP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Dina Hajj</dc:creator>
  <cp:lastModifiedBy>Helena ERIKSSON</cp:lastModifiedBy>
  <cp:lastPrinted>2016-01-05T11:13:19Z</cp:lastPrinted>
  <dcterms:created xsi:type="dcterms:W3CDTF">2012-07-11T06:25:21Z</dcterms:created>
  <dcterms:modified xsi:type="dcterms:W3CDTF">2016-01-05T11:14:40Z</dcterms:modified>
</cp:coreProperties>
</file>